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rge.fernandes\Desktop\"/>
    </mc:Choice>
  </mc:AlternateContent>
  <xr:revisionPtr revIDLastSave="0" documentId="13_ncr:1_{AB4C3A6D-38D7-4C86-BD1C-98B4F59C1319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Planilha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4" l="1"/>
  <c r="F14" i="4"/>
  <c r="G20" i="4"/>
  <c r="F20" i="4"/>
  <c r="E20" i="4"/>
  <c r="D20" i="4"/>
  <c r="E19" i="4"/>
  <c r="F19" i="4" s="1"/>
  <c r="G19" i="4" s="1"/>
  <c r="G8" i="4"/>
  <c r="G27" i="4"/>
  <c r="E27" i="4"/>
  <c r="E10" i="4" l="1"/>
  <c r="F10" i="4" s="1"/>
  <c r="G10" i="4" s="1"/>
  <c r="E9" i="4"/>
  <c r="E11" i="4" l="1"/>
  <c r="F9" i="4"/>
  <c r="D27" i="4"/>
  <c r="D28" i="4" s="1"/>
  <c r="E8" i="4"/>
  <c r="F5" i="4"/>
  <c r="D11" i="4"/>
  <c r="D18" i="4" l="1"/>
  <c r="D17" i="4"/>
  <c r="D16" i="4"/>
  <c r="D14" i="4"/>
  <c r="D15" i="4" s="1"/>
  <c r="E18" i="4"/>
  <c r="E16" i="4"/>
  <c r="E17" i="4"/>
  <c r="E14" i="4"/>
  <c r="E12" i="4"/>
  <c r="E13" i="4" s="1"/>
  <c r="E15" i="4"/>
  <c r="F27" i="4"/>
  <c r="F11" i="4"/>
  <c r="G9" i="4"/>
  <c r="D12" i="4"/>
  <c r="D13" i="4" s="1"/>
  <c r="F17" i="4" l="1"/>
  <c r="F16" i="4"/>
  <c r="F18" i="4"/>
  <c r="F12" i="4"/>
  <c r="E21" i="4"/>
  <c r="F15" i="4"/>
  <c r="F13" i="4"/>
  <c r="G11" i="4"/>
  <c r="G18" i="4" l="1"/>
  <c r="G17" i="4"/>
  <c r="G16" i="4"/>
  <c r="G12" i="4"/>
  <c r="E22" i="4"/>
  <c r="E23" i="4" s="1"/>
  <c r="E25" i="4" s="1"/>
  <c r="E28" i="4" s="1"/>
  <c r="E31" i="4"/>
  <c r="E32" i="4" s="1"/>
  <c r="E34" i="4" s="1"/>
  <c r="F21" i="4"/>
  <c r="G13" i="4"/>
  <c r="G15" i="4"/>
  <c r="F31" i="4" l="1"/>
  <c r="F32" i="4" s="1"/>
  <c r="F34" i="4" s="1"/>
  <c r="F22" i="4"/>
  <c r="F23" i="4" s="1"/>
  <c r="F25" i="4" s="1"/>
  <c r="F28" i="4" s="1"/>
  <c r="D37" i="4"/>
  <c r="G21" i="4"/>
  <c r="D21" i="4"/>
  <c r="D31" i="4" s="1"/>
  <c r="D32" i="4" l="1"/>
  <c r="D34" i="4" s="1"/>
  <c r="D38" i="4"/>
  <c r="G31" i="4"/>
  <c r="G32" i="4" s="1"/>
  <c r="G34" i="4" s="1"/>
  <c r="G22" i="4"/>
  <c r="G23" i="4" s="1"/>
  <c r="G25" i="4" s="1"/>
  <c r="G28" i="4" s="1"/>
  <c r="D22" i="4"/>
  <c r="D23" i="4" s="1"/>
  <c r="D41" i="4" l="1"/>
  <c r="D42" i="4"/>
  <c r="D39" i="4"/>
  <c r="D44" i="4" l="1"/>
</calcChain>
</file>

<file path=xl/sharedStrings.xml><?xml version="1.0" encoding="utf-8"?>
<sst xmlns="http://schemas.openxmlformats.org/spreadsheetml/2006/main" count="61" uniqueCount="59">
  <si>
    <t>Conta</t>
  </si>
  <si>
    <t>Quantidade (unid)</t>
  </si>
  <si>
    <t>Receita Bruta (R$)</t>
  </si>
  <si>
    <t>Receita Líquida (R$)</t>
  </si>
  <si>
    <t>CPV (R$)</t>
  </si>
  <si>
    <t>Lucro Bruto (R$)</t>
  </si>
  <si>
    <t>Depreciação (R$)</t>
  </si>
  <si>
    <t>Despesa Financeira (R$)</t>
  </si>
  <si>
    <t>LAIR (R$)</t>
  </si>
  <si>
    <t>IRPJ (R$)</t>
  </si>
  <si>
    <t>Lucro Líquido (R$)</t>
  </si>
  <si>
    <t>Preço unitário</t>
  </si>
  <si>
    <t>Impostos s/ Vendas</t>
  </si>
  <si>
    <t xml:space="preserve">Desp. Vendas </t>
  </si>
  <si>
    <t>X1</t>
  </si>
  <si>
    <t>X2</t>
  </si>
  <si>
    <t>X3</t>
  </si>
  <si>
    <t>(P) aumento venda</t>
  </si>
  <si>
    <t>(P) aumento preço</t>
  </si>
  <si>
    <t>(P) aumento custo unitário</t>
  </si>
  <si>
    <t>(P) Inflação</t>
  </si>
  <si>
    <t xml:space="preserve">Desp. Adm </t>
  </si>
  <si>
    <t>(P) SELIC</t>
  </si>
  <si>
    <t>Taxa da dívida</t>
  </si>
  <si>
    <t>Retorno Esperado Mercado</t>
  </si>
  <si>
    <t>Patrimônio Liquido</t>
  </si>
  <si>
    <t>Beta</t>
  </si>
  <si>
    <t>Retorno capital próprio</t>
  </si>
  <si>
    <t>WACC</t>
  </si>
  <si>
    <t>Impostos sobre Venda</t>
  </si>
  <si>
    <t>Custo Unitário sobre a Venda</t>
  </si>
  <si>
    <t>(inflação)</t>
  </si>
  <si>
    <t>Despesa com vendas s/ Vendas</t>
  </si>
  <si>
    <t>Despesa Administrativa s/ vendas</t>
  </si>
  <si>
    <t>Despesa Operacionais s/ vendas</t>
  </si>
  <si>
    <t>Desp. Operacionais</t>
  </si>
  <si>
    <t>Redução de depreciação</t>
  </si>
  <si>
    <t>Dívida Da empresa</t>
  </si>
  <si>
    <t>IR e CSLL</t>
  </si>
  <si>
    <t>Lucro antes e IR (EBIT)</t>
  </si>
  <si>
    <t>Lucro Operacional após Impostos</t>
  </si>
  <si>
    <t>Fórmula = LAIR + Despesa Financeira</t>
  </si>
  <si>
    <t>Investimento (Capex)</t>
  </si>
  <si>
    <t>FCFF</t>
  </si>
  <si>
    <t>Fórmula NOPAT = EBIT x  (1-IR)</t>
  </si>
  <si>
    <t>VP do FCFF (no fim de 20x1)</t>
  </si>
  <si>
    <t>Ano 1</t>
  </si>
  <si>
    <t>Ano 2</t>
  </si>
  <si>
    <t>Ano 3</t>
  </si>
  <si>
    <t>Perpetuidade</t>
  </si>
  <si>
    <t>Crescimentos na perpetuidade (g)</t>
  </si>
  <si>
    <t>VP Perpetuidade</t>
  </si>
  <si>
    <t>Valor da empresa</t>
  </si>
  <si>
    <t>Fórmula Free Cash Flow to the Firm = NOPAT + Depr - CAPEX</t>
  </si>
  <si>
    <t>Obs.: Não tem variação no capital de giro)</t>
  </si>
  <si>
    <t>X0</t>
  </si>
  <si>
    <t>Variação no NWC = 0</t>
  </si>
  <si>
    <t xml:space="preserve"> Fórmula = (FCFF ano3 * (1+g)  /  WACC ano3 - g)</t>
  </si>
  <si>
    <t>110% SELIC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</si>
</sst>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_-;\-* #,##0.0_-;_-* &quot;-&quot;??_-;_-@_-"/>
    <numFmt numFmtId="167" formatCode="_-* #,##0.0_-;\-* #,##0.0_-;_-* &quot;-&quot;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0" borderId="1" xfId="0" applyFont="1" applyBorder="1"/>
    <xf numFmtId="43" fontId="2" fillId="0" borderId="1" xfId="1" applyFont="1" applyBorder="1"/>
    <xf numFmtId="9" fontId="2" fillId="0" borderId="1" xfId="2" applyFont="1" applyBorder="1"/>
    <xf numFmtId="0" fontId="4" fillId="0" borderId="0" xfId="0" applyFont="1" applyAlignment="1">
      <alignment horizontal="center"/>
    </xf>
    <xf numFmtId="43" fontId="2" fillId="0" borderId="0" xfId="0" applyNumberFormat="1" applyFont="1"/>
    <xf numFmtId="43" fontId="2" fillId="0" borderId="0" xfId="1" applyFont="1" applyBorder="1"/>
    <xf numFmtId="0" fontId="3" fillId="0" borderId="1" xfId="0" applyFont="1" applyBorder="1"/>
    <xf numFmtId="165" fontId="2" fillId="0" borderId="1" xfId="2" applyNumberFormat="1" applyFont="1" applyBorder="1"/>
    <xf numFmtId="167" fontId="2" fillId="0" borderId="1" xfId="0" applyNumberFormat="1" applyFont="1" applyBorder="1"/>
    <xf numFmtId="165" fontId="2" fillId="4" borderId="1" xfId="2" applyNumberFormat="1" applyFont="1" applyFill="1" applyBorder="1"/>
    <xf numFmtId="164" fontId="2" fillId="4" borderId="1" xfId="1" applyNumberFormat="1" applyFont="1" applyFill="1" applyBorder="1"/>
    <xf numFmtId="166" fontId="3" fillId="3" borderId="1" xfId="1" applyNumberFormat="1" applyFont="1" applyFill="1" applyBorder="1"/>
    <xf numFmtId="43" fontId="3" fillId="3" borderId="1" xfId="1" applyFont="1" applyFill="1" applyBorder="1"/>
    <xf numFmtId="0" fontId="3" fillId="2" borderId="1" xfId="0" applyFont="1" applyFill="1" applyBorder="1"/>
    <xf numFmtId="10" fontId="2" fillId="5" borderId="1" xfId="2" applyNumberFormat="1" applyFont="1" applyFill="1" applyBorder="1"/>
    <xf numFmtId="9" fontId="2" fillId="0" borderId="1" xfId="0" applyNumberFormat="1" applyFont="1" applyBorder="1"/>
    <xf numFmtId="0" fontId="2" fillId="0" borderId="3" xfId="0" applyFont="1" applyBorder="1"/>
    <xf numFmtId="0" fontId="2" fillId="0" borderId="4" xfId="0" applyFont="1" applyBorder="1"/>
    <xf numFmtId="9" fontId="2" fillId="0" borderId="1" xfId="0" applyNumberFormat="1" applyFont="1" applyBorder="1" applyAlignment="1">
      <alignment horizontal="right"/>
    </xf>
    <xf numFmtId="167" fontId="2" fillId="4" borderId="1" xfId="0" applyNumberFormat="1" applyFont="1" applyFill="1" applyBorder="1"/>
    <xf numFmtId="0" fontId="2" fillId="4" borderId="0" xfId="0" applyFont="1" applyFill="1"/>
    <xf numFmtId="166" fontId="2" fillId="0" borderId="1" xfId="0" applyNumberFormat="1" applyFont="1" applyBorder="1"/>
    <xf numFmtId="43" fontId="2" fillId="0" borderId="1" xfId="0" applyNumberFormat="1" applyFont="1" applyBorder="1"/>
    <xf numFmtId="0" fontId="3" fillId="0" borderId="0" xfId="0" applyFont="1"/>
    <xf numFmtId="165" fontId="2" fillId="0" borderId="1" xfId="0" applyNumberFormat="1" applyFont="1" applyBorder="1"/>
    <xf numFmtId="167" fontId="2" fillId="0" borderId="0" xfId="0" applyNumberFormat="1" applyFont="1"/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3F996-1E51-4E2B-9700-3D6D983A30A2}">
  <dimension ref="B1:W46"/>
  <sheetViews>
    <sheetView showGridLines="0" tabSelected="1" topLeftCell="A13" zoomScale="60" zoomScaleNormal="60" workbookViewId="0">
      <selection activeCell="G45" sqref="G45"/>
    </sheetView>
  </sheetViews>
  <sheetFormatPr defaultColWidth="9.109375" defaultRowHeight="21" outlineLevelCol="1" x14ac:dyDescent="0.4"/>
  <cols>
    <col min="1" max="1" width="9.109375" style="1"/>
    <col min="2" max="2" width="46.6640625" style="1" customWidth="1" collapsed="1"/>
    <col min="3" max="3" width="5.33203125" style="1" hidden="1" customWidth="1"/>
    <col min="4" max="4" width="23.5546875" style="1" customWidth="1" outlineLevel="1"/>
    <col min="5" max="6" width="21.109375" style="1" bestFit="1" customWidth="1"/>
    <col min="7" max="7" width="22.44140625" style="1" customWidth="1"/>
    <col min="8" max="8" width="2.88671875" style="1" customWidth="1"/>
    <col min="9" max="9" width="5.6640625" style="1" customWidth="1"/>
    <col min="10" max="10" width="43.33203125" style="1" customWidth="1"/>
    <col min="11" max="11" width="18.44140625" style="1" bestFit="1" customWidth="1"/>
    <col min="12" max="22" width="9.109375" style="1"/>
    <col min="23" max="23" width="38.88671875" style="1" customWidth="1"/>
    <col min="24" max="16384" width="9.109375" style="1"/>
  </cols>
  <sheetData>
    <row r="1" spans="2:13" ht="6.75" customHeight="1" x14ac:dyDescent="0.4">
      <c r="E1" s="7">
        <v>1</v>
      </c>
      <c r="F1" s="7">
        <v>2</v>
      </c>
      <c r="G1" s="7">
        <v>3</v>
      </c>
    </row>
    <row r="2" spans="2:13" x14ac:dyDescent="0.4">
      <c r="B2" s="2" t="s">
        <v>0</v>
      </c>
      <c r="C2" s="3"/>
      <c r="D2" s="3" t="s">
        <v>55</v>
      </c>
      <c r="E2" s="3" t="s">
        <v>14</v>
      </c>
      <c r="F2" s="3" t="s">
        <v>15</v>
      </c>
      <c r="G2" s="3" t="s">
        <v>16</v>
      </c>
    </row>
    <row r="3" spans="2:13" x14ac:dyDescent="0.4">
      <c r="B3" s="10" t="s">
        <v>17</v>
      </c>
      <c r="C3" s="10"/>
      <c r="D3" s="4"/>
      <c r="E3" s="13">
        <v>0.02</v>
      </c>
      <c r="F3" s="13">
        <v>0.02</v>
      </c>
      <c r="G3" s="13">
        <v>0.01</v>
      </c>
      <c r="J3" s="4" t="s">
        <v>29</v>
      </c>
      <c r="K3" s="19">
        <v>0.13</v>
      </c>
    </row>
    <row r="4" spans="2:13" x14ac:dyDescent="0.4">
      <c r="B4" s="10" t="s">
        <v>18</v>
      </c>
      <c r="C4" s="10"/>
      <c r="D4" s="4"/>
      <c r="E4" s="11">
        <v>3.5000000000000003E-2</v>
      </c>
      <c r="F4" s="11">
        <v>3.5000000000000003E-2</v>
      </c>
      <c r="G4" s="11">
        <v>0.03</v>
      </c>
      <c r="J4" s="4" t="s">
        <v>23</v>
      </c>
      <c r="K4" s="22" t="s">
        <v>58</v>
      </c>
    </row>
    <row r="5" spans="2:13" x14ac:dyDescent="0.4">
      <c r="B5" s="10" t="s">
        <v>19</v>
      </c>
      <c r="C5" s="10"/>
      <c r="D5" s="4"/>
      <c r="E5" s="11">
        <v>3.5000000000000003E-2</v>
      </c>
      <c r="F5" s="11">
        <f>E5</f>
        <v>3.5000000000000003E-2</v>
      </c>
      <c r="G5" s="11">
        <v>0.03</v>
      </c>
      <c r="J5" s="4" t="s">
        <v>24</v>
      </c>
      <c r="K5" s="19">
        <v>0.12</v>
      </c>
    </row>
    <row r="6" spans="2:13" x14ac:dyDescent="0.4">
      <c r="B6" s="10" t="s">
        <v>20</v>
      </c>
      <c r="C6" s="10"/>
      <c r="D6" s="4"/>
      <c r="E6" s="11">
        <v>0.03</v>
      </c>
      <c r="F6" s="11">
        <v>0.03</v>
      </c>
      <c r="G6" s="11">
        <v>0.02</v>
      </c>
      <c r="J6" s="4" t="s">
        <v>26</v>
      </c>
      <c r="K6" s="5">
        <v>1.3</v>
      </c>
    </row>
    <row r="7" spans="2:13" x14ac:dyDescent="0.4">
      <c r="B7" s="10" t="s">
        <v>22</v>
      </c>
      <c r="C7" s="10"/>
      <c r="D7" s="6">
        <v>0.08</v>
      </c>
      <c r="E7" s="11">
        <v>0.08</v>
      </c>
      <c r="F7" s="11">
        <v>0.1</v>
      </c>
      <c r="G7" s="11">
        <v>0.1</v>
      </c>
      <c r="J7" s="4" t="s">
        <v>38</v>
      </c>
      <c r="K7" s="19">
        <v>0.34</v>
      </c>
    </row>
    <row r="8" spans="2:13" x14ac:dyDescent="0.4">
      <c r="B8" s="10" t="s">
        <v>37</v>
      </c>
      <c r="C8" s="10"/>
      <c r="D8" s="23">
        <v>300000</v>
      </c>
      <c r="E8" s="23">
        <f>D8</f>
        <v>300000</v>
      </c>
      <c r="F8" s="23">
        <v>350000</v>
      </c>
      <c r="G8" s="23">
        <f>F8</f>
        <v>350000</v>
      </c>
      <c r="J8" s="20" t="s">
        <v>30</v>
      </c>
      <c r="K8" s="21"/>
      <c r="L8" s="19">
        <v>0.55000000000000004</v>
      </c>
    </row>
    <row r="9" spans="2:13" x14ac:dyDescent="0.4">
      <c r="B9" s="10" t="s">
        <v>1</v>
      </c>
      <c r="C9" s="10"/>
      <c r="D9" s="14">
        <v>520</v>
      </c>
      <c r="E9" s="14">
        <f>D9*(E3+1)</f>
        <v>530.4</v>
      </c>
      <c r="F9" s="14">
        <f>E9*(F3+1)</f>
        <v>541.00800000000004</v>
      </c>
      <c r="G9" s="14">
        <f t="shared" ref="G9" si="0">F9*(G3+1)</f>
        <v>546.41808000000003</v>
      </c>
      <c r="J9" s="20" t="s">
        <v>32</v>
      </c>
      <c r="K9" s="21"/>
      <c r="L9" s="19">
        <v>0.05</v>
      </c>
      <c r="M9" s="1" t="s">
        <v>31</v>
      </c>
    </row>
    <row r="10" spans="2:13" x14ac:dyDescent="0.4">
      <c r="B10" s="10" t="s">
        <v>11</v>
      </c>
      <c r="C10" s="10"/>
      <c r="D10" s="5">
        <v>1725</v>
      </c>
      <c r="E10" s="5">
        <f>D10*(E4+1)</f>
        <v>1785.3749999999998</v>
      </c>
      <c r="F10" s="5">
        <f t="shared" ref="F10:G10" si="1">E10*(F4+1)</f>
        <v>1847.8631249999996</v>
      </c>
      <c r="G10" s="5">
        <f t="shared" si="1"/>
        <v>1903.2990187499997</v>
      </c>
      <c r="J10" s="20" t="s">
        <v>33</v>
      </c>
      <c r="K10" s="21"/>
      <c r="L10" s="19">
        <v>7.0000000000000007E-2</v>
      </c>
      <c r="M10" s="1" t="s">
        <v>31</v>
      </c>
    </row>
    <row r="11" spans="2:13" x14ac:dyDescent="0.4">
      <c r="B11" s="10" t="s">
        <v>2</v>
      </c>
      <c r="C11" s="10"/>
      <c r="D11" s="15">
        <f>D9*D10</f>
        <v>897000</v>
      </c>
      <c r="E11" s="16">
        <f>E9*E10</f>
        <v>946962.89999999979</v>
      </c>
      <c r="F11" s="16">
        <f t="shared" ref="F11:G11" si="2">F9*F10</f>
        <v>999708.73352999985</v>
      </c>
      <c r="G11" s="16">
        <f t="shared" si="2"/>
        <v>1039996.9954912589</v>
      </c>
      <c r="J11" s="20" t="s">
        <v>34</v>
      </c>
      <c r="K11" s="21"/>
      <c r="L11" s="19">
        <v>0.1</v>
      </c>
      <c r="M11" s="1" t="s">
        <v>31</v>
      </c>
    </row>
    <row r="12" spans="2:13" x14ac:dyDescent="0.4">
      <c r="B12" s="10" t="s">
        <v>12</v>
      </c>
      <c r="C12" s="10"/>
      <c r="D12" s="12">
        <f>D11*-$K$3</f>
        <v>-116610</v>
      </c>
      <c r="E12" s="12">
        <f>E11*-K3</f>
        <v>-123105.17699999998</v>
      </c>
      <c r="F12" s="12">
        <f>F11*-K3</f>
        <v>-129962.13535889999</v>
      </c>
      <c r="G12" s="12">
        <f>G11*-K3</f>
        <v>-135199.60941386365</v>
      </c>
      <c r="J12" s="20" t="s">
        <v>36</v>
      </c>
      <c r="K12" s="21"/>
      <c r="L12" s="28">
        <v>1.4999999999999999E-2</v>
      </c>
    </row>
    <row r="13" spans="2:13" x14ac:dyDescent="0.4">
      <c r="B13" s="10" t="s">
        <v>3</v>
      </c>
      <c r="C13" s="10"/>
      <c r="D13" s="15">
        <f>D11+D12</f>
        <v>780390</v>
      </c>
      <c r="E13" s="16">
        <f>E11+E12</f>
        <v>823857.72299999977</v>
      </c>
      <c r="F13" s="16">
        <f t="shared" ref="F13:G13" si="3">F11+F12</f>
        <v>869746.5981710999</v>
      </c>
      <c r="G13" s="16">
        <f t="shared" si="3"/>
        <v>904797.38607739529</v>
      </c>
      <c r="J13" s="20" t="s">
        <v>50</v>
      </c>
      <c r="K13" s="21"/>
      <c r="L13" s="28">
        <v>0.01</v>
      </c>
    </row>
    <row r="14" spans="2:13" x14ac:dyDescent="0.4">
      <c r="B14" s="10" t="s">
        <v>4</v>
      </c>
      <c r="C14" s="10"/>
      <c r="D14" s="23">
        <f>D11*-$L$8</f>
        <v>-493350.00000000006</v>
      </c>
      <c r="E14" s="23">
        <f>E11*-$L$8</f>
        <v>-520829.59499999991</v>
      </c>
      <c r="F14" s="23">
        <f t="shared" ref="F14:G14" si="4">F11*-$L$8</f>
        <v>-549839.80344149994</v>
      </c>
      <c r="G14" s="23">
        <f t="shared" si="4"/>
        <v>-571998.3475201925</v>
      </c>
      <c r="H14" s="24"/>
      <c r="I14" s="24"/>
      <c r="J14" s="24"/>
      <c r="K14" s="24"/>
    </row>
    <row r="15" spans="2:13" x14ac:dyDescent="0.4">
      <c r="B15" s="10" t="s">
        <v>5</v>
      </c>
      <c r="C15" s="10"/>
      <c r="D15" s="15">
        <f>D11+D14</f>
        <v>403649.99999999994</v>
      </c>
      <c r="E15" s="16">
        <f>E11+E14</f>
        <v>426133.30499999988</v>
      </c>
      <c r="F15" s="16">
        <f>F11+F14</f>
        <v>449868.93008849991</v>
      </c>
      <c r="G15" s="16">
        <f>G11+G14</f>
        <v>467998.64797106641</v>
      </c>
      <c r="H15" s="24"/>
      <c r="I15" s="24"/>
      <c r="J15" s="24"/>
      <c r="K15" s="24"/>
    </row>
    <row r="16" spans="2:13" x14ac:dyDescent="0.4">
      <c r="B16" s="10" t="s">
        <v>13</v>
      </c>
      <c r="C16" s="10"/>
      <c r="D16" s="23">
        <f>D11*-$L$9</f>
        <v>-44850</v>
      </c>
      <c r="E16" s="23">
        <f t="shared" ref="E16:G16" si="5">E11*-$L$9</f>
        <v>-47348.14499999999</v>
      </c>
      <c r="F16" s="23">
        <f t="shared" si="5"/>
        <v>-49985.436676499994</v>
      </c>
      <c r="G16" s="23">
        <f t="shared" si="5"/>
        <v>-51999.84977456295</v>
      </c>
      <c r="H16" s="24"/>
      <c r="I16" s="24"/>
      <c r="J16" s="24" t="s">
        <v>56</v>
      </c>
      <c r="K16" s="24"/>
    </row>
    <row r="17" spans="2:23" x14ac:dyDescent="0.4">
      <c r="B17" s="10" t="s">
        <v>21</v>
      </c>
      <c r="C17" s="10"/>
      <c r="D17" s="23">
        <f>D11*-$L$10</f>
        <v>-62790.000000000007</v>
      </c>
      <c r="E17" s="23">
        <f t="shared" ref="E17:G17" si="6">E11*-$L$10</f>
        <v>-66287.402999999991</v>
      </c>
      <c r="F17" s="23">
        <f t="shared" si="6"/>
        <v>-69979.611347099999</v>
      </c>
      <c r="G17" s="23">
        <f t="shared" si="6"/>
        <v>-72799.789684388132</v>
      </c>
      <c r="H17" s="24"/>
      <c r="I17" s="24"/>
      <c r="J17" s="24"/>
      <c r="K17" s="24"/>
    </row>
    <row r="18" spans="2:23" x14ac:dyDescent="0.4">
      <c r="B18" s="10" t="s">
        <v>35</v>
      </c>
      <c r="C18" s="10"/>
      <c r="D18" s="23">
        <f>D11*-$L$11</f>
        <v>-89700</v>
      </c>
      <c r="E18" s="23">
        <f t="shared" ref="E18:G18" si="7">E11*-$L$11</f>
        <v>-94696.289999999979</v>
      </c>
      <c r="F18" s="23">
        <f t="shared" si="7"/>
        <v>-99970.873352999988</v>
      </c>
      <c r="G18" s="23">
        <f t="shared" si="7"/>
        <v>-103999.6995491259</v>
      </c>
      <c r="H18" s="24"/>
      <c r="I18" s="24"/>
      <c r="J18" s="24"/>
      <c r="K18" s="24"/>
    </row>
    <row r="19" spans="2:23" x14ac:dyDescent="0.4">
      <c r="B19" s="10" t="s">
        <v>6</v>
      </c>
      <c r="C19" s="10"/>
      <c r="D19" s="23">
        <v>-15000</v>
      </c>
      <c r="E19" s="23">
        <f>D19*(1-$L$12)</f>
        <v>-14775</v>
      </c>
      <c r="F19" s="23">
        <f t="shared" ref="F19:G19" si="8">E19*(1-$L$12)</f>
        <v>-14553.375</v>
      </c>
      <c r="G19" s="23">
        <f t="shared" si="8"/>
        <v>-14335.074375</v>
      </c>
      <c r="H19" s="24"/>
      <c r="I19" s="24"/>
      <c r="J19" s="24"/>
      <c r="K19" s="24"/>
    </row>
    <row r="20" spans="2:23" x14ac:dyDescent="0.4">
      <c r="B20" s="10" t="s">
        <v>7</v>
      </c>
      <c r="C20" s="10"/>
      <c r="D20" s="23">
        <f>D8*(-D7*1.1)</f>
        <v>-26400.000000000004</v>
      </c>
      <c r="E20" s="23">
        <f>E8*(-E7*1.1)</f>
        <v>-26400.000000000004</v>
      </c>
      <c r="F20" s="23">
        <f>F8*(-F7*1.1)</f>
        <v>-38500.000000000007</v>
      </c>
      <c r="G20" s="23">
        <f>G8*(-G7*1.1)</f>
        <v>-38500.000000000007</v>
      </c>
      <c r="H20" s="24"/>
      <c r="I20" s="24"/>
    </row>
    <row r="21" spans="2:23" x14ac:dyDescent="0.4">
      <c r="B21" s="10" t="s">
        <v>8</v>
      </c>
      <c r="C21" s="10"/>
      <c r="D21" s="15">
        <f t="shared" ref="D21" si="9">D15+SUM(D16:D20)</f>
        <v>164909.99999999994</v>
      </c>
      <c r="E21" s="16">
        <f>SUM(E15:E20)</f>
        <v>176626.46699999995</v>
      </c>
      <c r="F21" s="16">
        <f t="shared" ref="F21:G21" si="10">SUM(F15:F20)</f>
        <v>176879.63371189992</v>
      </c>
      <c r="G21" s="16">
        <f t="shared" si="10"/>
        <v>186364.23458798943</v>
      </c>
      <c r="W21" s="29"/>
    </row>
    <row r="22" spans="2:23" x14ac:dyDescent="0.4">
      <c r="B22" s="10" t="s">
        <v>9</v>
      </c>
      <c r="C22" s="10"/>
      <c r="D22" s="23">
        <f>D21*-$K$7</f>
        <v>-56069.399999999987</v>
      </c>
      <c r="E22" s="23">
        <f>E21*-$K$7</f>
        <v>-60052.998779999987</v>
      </c>
      <c r="F22" s="23">
        <f>F21*-$K$7</f>
        <v>-60139.075462045977</v>
      </c>
      <c r="G22" s="23">
        <f>G21*-$K$7</f>
        <v>-63363.839759916409</v>
      </c>
    </row>
    <row r="23" spans="2:23" x14ac:dyDescent="0.4">
      <c r="B23" s="10" t="s">
        <v>10</v>
      </c>
      <c r="C23" s="10"/>
      <c r="D23" s="15">
        <f>D21+D22</f>
        <v>108840.59999999995</v>
      </c>
      <c r="E23" s="15">
        <f>E21+E22</f>
        <v>116573.46821999995</v>
      </c>
      <c r="F23" s="15">
        <f>F21+F22</f>
        <v>116740.55824985394</v>
      </c>
      <c r="G23" s="15">
        <f t="shared" ref="G23" si="11">G21+G22</f>
        <v>123000.39482807301</v>
      </c>
      <c r="W23" s="29"/>
    </row>
    <row r="24" spans="2:23" ht="8.25" customHeight="1" x14ac:dyDescent="0.4">
      <c r="D24" s="9"/>
      <c r="E24" s="9"/>
      <c r="F24" s="9"/>
      <c r="G24" s="9"/>
    </row>
    <row r="25" spans="2:23" ht="23.25" customHeight="1" x14ac:dyDescent="0.4">
      <c r="B25" s="10" t="s">
        <v>25</v>
      </c>
      <c r="C25" s="4"/>
      <c r="D25" s="5">
        <v>1000000</v>
      </c>
      <c r="E25" s="5">
        <f>E23+D25</f>
        <v>1116573.4682199999</v>
      </c>
      <c r="F25" s="5">
        <f t="shared" ref="F25:G25" si="12">F23+E25</f>
        <v>1233314.0264698539</v>
      </c>
      <c r="G25" s="5">
        <f t="shared" si="12"/>
        <v>1356314.4212979269</v>
      </c>
    </row>
    <row r="27" spans="2:23" x14ac:dyDescent="0.4">
      <c r="B27" s="17" t="s">
        <v>27</v>
      </c>
      <c r="C27" s="17"/>
      <c r="D27" s="18">
        <f>(D7+($K$6*($K$5-D7)))</f>
        <v>0.13200000000000001</v>
      </c>
      <c r="E27" s="18">
        <f>E7+($K$6*($K$5-E7))</f>
        <v>0.13200000000000001</v>
      </c>
      <c r="F27" s="18">
        <f>F7+($K$6*($K$5-F7))</f>
        <v>0.126</v>
      </c>
      <c r="G27" s="18">
        <f>G7+($K$6*($K$5-G7))</f>
        <v>0.126</v>
      </c>
    </row>
    <row r="28" spans="2:23" x14ac:dyDescent="0.4">
      <c r="B28" s="17" t="s">
        <v>28</v>
      </c>
      <c r="C28" s="17"/>
      <c r="D28" s="18">
        <f>(((D25/(D25+D8)))*D27)+((D8/(D8+D25)*D7)*(1-$K$7))</f>
        <v>0.11372307692307693</v>
      </c>
      <c r="E28" s="18">
        <f>(((E25/(E25+E8)))*E27)+((E8/(E8+E25)*E7)*(1-$K$7))</f>
        <v>0.11522713185511253</v>
      </c>
      <c r="F28" s="18">
        <f>(((F25/(F25+F8)))*F27)+((F8/(F8+F25)*F7)*(1-$K$7))</f>
        <v>0.11273668037488341</v>
      </c>
      <c r="G28" s="18">
        <f>(((G25/(G25+G8)))*G27)+((G8/(G8+G25)*G7)*(1-$K$7))</f>
        <v>0.11369277236488096</v>
      </c>
    </row>
    <row r="29" spans="2:23" x14ac:dyDescent="0.4">
      <c r="E29" s="8"/>
    </row>
    <row r="30" spans="2:23" x14ac:dyDescent="0.4">
      <c r="E30" s="8"/>
    </row>
    <row r="31" spans="2:23" x14ac:dyDescent="0.4">
      <c r="B31" s="10" t="s">
        <v>39</v>
      </c>
      <c r="C31" s="4"/>
      <c r="D31" s="25">
        <f>D21-D20</f>
        <v>191309.99999999994</v>
      </c>
      <c r="E31" s="25">
        <f t="shared" ref="E31:G31" si="13">E21-E20</f>
        <v>203026.46699999995</v>
      </c>
      <c r="F31" s="25">
        <f t="shared" si="13"/>
        <v>215379.63371189992</v>
      </c>
      <c r="G31" s="25">
        <f t="shared" si="13"/>
        <v>224864.23458798943</v>
      </c>
      <c r="J31" s="1" t="s">
        <v>41</v>
      </c>
    </row>
    <row r="32" spans="2:23" x14ac:dyDescent="0.4">
      <c r="B32" s="10" t="s">
        <v>40</v>
      </c>
      <c r="C32" s="4"/>
      <c r="D32" s="12">
        <f>D31*(1-$K$7)</f>
        <v>126264.59999999995</v>
      </c>
      <c r="E32" s="12">
        <f>E31*(1-$K$7)</f>
        <v>133997.46821999995</v>
      </c>
      <c r="F32" s="12">
        <f>F31*(1-$K$7)</f>
        <v>142150.55824985393</v>
      </c>
      <c r="G32" s="12">
        <f>G31*(1-$K$7)</f>
        <v>148410.39482807301</v>
      </c>
      <c r="J32" s="1" t="s">
        <v>44</v>
      </c>
    </row>
    <row r="33" spans="2:10" x14ac:dyDescent="0.4">
      <c r="B33" s="10" t="s">
        <v>42</v>
      </c>
      <c r="C33" s="4"/>
      <c r="D33" s="4"/>
      <c r="E33" s="26"/>
      <c r="F33" s="25">
        <v>100000</v>
      </c>
      <c r="G33" s="5"/>
    </row>
    <row r="34" spans="2:10" x14ac:dyDescent="0.4">
      <c r="B34" s="10" t="s">
        <v>43</v>
      </c>
      <c r="C34" s="4"/>
      <c r="D34" s="25">
        <f>D32-D19-D33</f>
        <v>141264.59999999995</v>
      </c>
      <c r="E34" s="25">
        <f t="shared" ref="E34:G34" si="14">E32-E19-E33</f>
        <v>148772.46821999995</v>
      </c>
      <c r="F34" s="25">
        <f t="shared" si="14"/>
        <v>56703.93324985393</v>
      </c>
      <c r="G34" s="25">
        <f t="shared" si="14"/>
        <v>162745.46920307301</v>
      </c>
      <c r="J34" s="1" t="s">
        <v>53</v>
      </c>
    </row>
    <row r="35" spans="2:10" x14ac:dyDescent="0.4">
      <c r="J35" s="1" t="s">
        <v>54</v>
      </c>
    </row>
    <row r="36" spans="2:10" x14ac:dyDescent="0.4">
      <c r="B36" s="10" t="s">
        <v>45</v>
      </c>
    </row>
    <row r="37" spans="2:10" x14ac:dyDescent="0.4">
      <c r="B37" s="10" t="s">
        <v>46</v>
      </c>
      <c r="C37" s="4">
        <v>1</v>
      </c>
      <c r="D37" s="26">
        <f>E34/(E28+1)^C37</f>
        <v>133401.04806500356</v>
      </c>
      <c r="F37" s="8"/>
    </row>
    <row r="38" spans="2:10" x14ac:dyDescent="0.4">
      <c r="B38" s="10" t="s">
        <v>47</v>
      </c>
      <c r="C38" s="4">
        <v>2</v>
      </c>
      <c r="D38" s="26">
        <f>F34/(F28+1)^C38</f>
        <v>45796.087428378334</v>
      </c>
      <c r="F38" s="8"/>
    </row>
    <row r="39" spans="2:10" x14ac:dyDescent="0.4">
      <c r="B39" s="10" t="s">
        <v>48</v>
      </c>
      <c r="C39" s="4">
        <v>3</v>
      </c>
      <c r="D39" s="26">
        <f>G34/(G28+1)^C39</f>
        <v>117818.28675336813</v>
      </c>
    </row>
    <row r="41" spans="2:10" x14ac:dyDescent="0.4">
      <c r="B41" s="10" t="s">
        <v>49</v>
      </c>
      <c r="C41" s="4"/>
      <c r="D41" s="26">
        <f>(G34*(1+L13))/(G28-L13)</f>
        <v>1585191.7172847637</v>
      </c>
      <c r="E41" s="27" t="s">
        <v>57</v>
      </c>
    </row>
    <row r="42" spans="2:10" x14ac:dyDescent="0.4">
      <c r="B42" s="10" t="s">
        <v>51</v>
      </c>
      <c r="C42" s="10"/>
      <c r="D42" s="26">
        <f>D41/(G28+1)^3</f>
        <v>1147586.9234373365</v>
      </c>
    </row>
    <row r="44" spans="2:10" x14ac:dyDescent="0.4">
      <c r="B44" s="10" t="s">
        <v>52</v>
      </c>
      <c r="D44" s="26">
        <f>D37+D38+D39+D42</f>
        <v>1444602.3456840864</v>
      </c>
    </row>
    <row r="45" spans="2:10" x14ac:dyDescent="0.4">
      <c r="G45" s="8"/>
    </row>
    <row r="46" spans="2:10" x14ac:dyDescent="0.4">
      <c r="D46" s="8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Fernandes</dc:creator>
  <cp:lastModifiedBy>Jorge Fernandes</cp:lastModifiedBy>
  <dcterms:created xsi:type="dcterms:W3CDTF">2025-08-14T15:03:54Z</dcterms:created>
  <dcterms:modified xsi:type="dcterms:W3CDTF">2025-11-20T23:35:39Z</dcterms:modified>
</cp:coreProperties>
</file>