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.fernandes\Desktop\"/>
    </mc:Choice>
  </mc:AlternateContent>
  <xr:revisionPtr revIDLastSave="0" documentId="13_ncr:1_{865CF326-5C16-4477-9B32-2003F66ED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4" l="1"/>
  <c r="D49" i="4"/>
  <c r="D48" i="4"/>
  <c r="N34" i="4"/>
  <c r="D46" i="4"/>
  <c r="D45" i="4"/>
  <c r="D44" i="4"/>
  <c r="D43" i="4"/>
  <c r="D42" i="4"/>
  <c r="D41" i="4"/>
  <c r="D40" i="4"/>
  <c r="D39" i="4"/>
  <c r="D38" i="4"/>
  <c r="D37" i="4"/>
  <c r="J27" i="4"/>
  <c r="I27" i="4"/>
  <c r="H27" i="4"/>
  <c r="G27" i="4"/>
  <c r="E27" i="4"/>
  <c r="J20" i="4"/>
  <c r="I20" i="4"/>
  <c r="H20" i="4"/>
  <c r="G20" i="4"/>
  <c r="F19" i="4"/>
  <c r="G19" i="4" s="1"/>
  <c r="H19" i="4" s="1"/>
  <c r="I19" i="4" s="1"/>
  <c r="J19" i="4" s="1"/>
  <c r="K19" i="4" s="1"/>
  <c r="L19" i="4" s="1"/>
  <c r="M19" i="4" s="1"/>
  <c r="N19" i="4" s="1"/>
  <c r="E19" i="4"/>
  <c r="E10" i="4" l="1"/>
  <c r="F10" i="4" s="1"/>
  <c r="G10" i="4" s="1"/>
  <c r="H10" i="4" s="1"/>
  <c r="I10" i="4" s="1"/>
  <c r="J10" i="4" s="1"/>
  <c r="K10" i="4" s="1"/>
  <c r="L10" i="4" s="1"/>
  <c r="E9" i="4"/>
  <c r="E11" i="4" s="1"/>
  <c r="E18" i="4" l="1"/>
  <c r="E14" i="4"/>
  <c r="E15" i="4" s="1"/>
  <c r="E21" i="4" s="1"/>
  <c r="E17" i="4"/>
  <c r="E16" i="4" s="1"/>
  <c r="E12" i="4"/>
  <c r="E13" i="4" s="1"/>
  <c r="M10" i="4"/>
  <c r="N10" i="4" s="1"/>
  <c r="F9" i="4"/>
  <c r="D27" i="4"/>
  <c r="D28" i="4" s="1"/>
  <c r="D20" i="4"/>
  <c r="F7" i="4"/>
  <c r="K7" i="4"/>
  <c r="E8" i="4"/>
  <c r="E20" i="4" s="1"/>
  <c r="M3" i="4"/>
  <c r="N3" i="4" s="1"/>
  <c r="F5" i="4"/>
  <c r="H5" i="4" s="1"/>
  <c r="I5" i="4" s="1"/>
  <c r="J5" i="4" s="1"/>
  <c r="K5" i="4" s="1"/>
  <c r="L5" i="4" s="1"/>
  <c r="M5" i="4" s="1"/>
  <c r="N5" i="4" s="1"/>
  <c r="D11" i="4"/>
  <c r="E22" i="4" l="1"/>
  <c r="E23" i="4" s="1"/>
  <c r="E25" i="4" s="1"/>
  <c r="E28" i="4" s="1"/>
  <c r="E31" i="4"/>
  <c r="E32" i="4" s="1"/>
  <c r="E34" i="4" s="1"/>
  <c r="K27" i="4"/>
  <c r="K20" i="4"/>
  <c r="D16" i="4"/>
  <c r="F20" i="4"/>
  <c r="F27" i="4"/>
  <c r="F11" i="4"/>
  <c r="G9" i="4"/>
  <c r="L7" i="4"/>
  <c r="D12" i="4"/>
  <c r="D13" i="4" s="1"/>
  <c r="D17" i="4"/>
  <c r="D18" i="4"/>
  <c r="D14" i="4"/>
  <c r="D15" i="4" s="1"/>
  <c r="F18" i="4" l="1"/>
  <c r="F13" i="4"/>
  <c r="F17" i="4"/>
  <c r="F14" i="4"/>
  <c r="F15" i="4" s="1"/>
  <c r="F21" i="4" s="1"/>
  <c r="F12" i="4"/>
  <c r="F16" i="4"/>
  <c r="L27" i="4"/>
  <c r="L20" i="4"/>
  <c r="G11" i="4"/>
  <c r="H9" i="4"/>
  <c r="M7" i="4"/>
  <c r="F22" i="4" l="1"/>
  <c r="F23" i="4" s="1"/>
  <c r="F25" i="4" s="1"/>
  <c r="F28" i="4" s="1"/>
  <c r="F31" i="4"/>
  <c r="F32" i="4" s="1"/>
  <c r="F34" i="4" s="1"/>
  <c r="G18" i="4"/>
  <c r="G13" i="4"/>
  <c r="G15" i="4"/>
  <c r="G21" i="4" s="1"/>
  <c r="G17" i="4"/>
  <c r="G12" i="4"/>
  <c r="G16" i="4"/>
  <c r="G14" i="4"/>
  <c r="M20" i="4"/>
  <c r="M27" i="4"/>
  <c r="I9" i="4"/>
  <c r="H11" i="4"/>
  <c r="N7" i="4"/>
  <c r="N20" i="4" l="1"/>
  <c r="N27" i="4"/>
  <c r="H18" i="4"/>
  <c r="H17" i="4"/>
  <c r="H12" i="4"/>
  <c r="H13" i="4" s="1"/>
  <c r="H14" i="4"/>
  <c r="H15" i="4" s="1"/>
  <c r="H21" i="4" s="1"/>
  <c r="H16" i="4"/>
  <c r="J9" i="4"/>
  <c r="I11" i="4"/>
  <c r="G22" i="4"/>
  <c r="G23" i="4" s="1"/>
  <c r="G25" i="4" s="1"/>
  <c r="G28" i="4" s="1"/>
  <c r="G31" i="4"/>
  <c r="G32" i="4" s="1"/>
  <c r="G34" i="4" s="1"/>
  <c r="D21" i="4"/>
  <c r="D31" i="4" s="1"/>
  <c r="D32" i="4" s="1"/>
  <c r="D34" i="4" s="1"/>
  <c r="H31" i="4" l="1"/>
  <c r="H32" i="4" s="1"/>
  <c r="H34" i="4" s="1"/>
  <c r="H22" i="4"/>
  <c r="H23" i="4" s="1"/>
  <c r="H25" i="4" s="1"/>
  <c r="H28" i="4" s="1"/>
  <c r="K9" i="4"/>
  <c r="J11" i="4"/>
  <c r="I18" i="4"/>
  <c r="I17" i="4"/>
  <c r="I12" i="4"/>
  <c r="I13" i="4" s="1"/>
  <c r="I14" i="4"/>
  <c r="I15" i="4" s="1"/>
  <c r="I21" i="4" s="1"/>
  <c r="I16" i="4"/>
  <c r="D22" i="4"/>
  <c r="D23" i="4" s="1"/>
  <c r="I22" i="4" l="1"/>
  <c r="I23" i="4" s="1"/>
  <c r="I25" i="4" s="1"/>
  <c r="I28" i="4" s="1"/>
  <c r="I31" i="4"/>
  <c r="I32" i="4" s="1"/>
  <c r="I34" i="4" s="1"/>
  <c r="J18" i="4"/>
  <c r="J17" i="4"/>
  <c r="J16" i="4"/>
  <c r="J14" i="4"/>
  <c r="J15" i="4" s="1"/>
  <c r="J21" i="4" s="1"/>
  <c r="J12" i="4"/>
  <c r="J13" i="4" s="1"/>
  <c r="L9" i="4"/>
  <c r="K11" i="4"/>
  <c r="J31" i="4" l="1"/>
  <c r="J32" i="4" s="1"/>
  <c r="J34" i="4" s="1"/>
  <c r="J22" i="4"/>
  <c r="J23" i="4" s="1"/>
  <c r="J25" i="4" s="1"/>
  <c r="J28" i="4" s="1"/>
  <c r="K18" i="4"/>
  <c r="K17" i="4"/>
  <c r="K12" i="4"/>
  <c r="K13" i="4" s="1"/>
  <c r="K14" i="4"/>
  <c r="K15" i="4" s="1"/>
  <c r="K21" i="4" s="1"/>
  <c r="K16" i="4"/>
  <c r="M9" i="4"/>
  <c r="L11" i="4"/>
  <c r="K31" i="4" l="1"/>
  <c r="K32" i="4" s="1"/>
  <c r="K34" i="4" s="1"/>
  <c r="K22" i="4"/>
  <c r="K23" i="4" s="1"/>
  <c r="K25" i="4" s="1"/>
  <c r="K28" i="4" s="1"/>
  <c r="L18" i="4"/>
  <c r="L17" i="4"/>
  <c r="L12" i="4"/>
  <c r="L13" i="4" s="1"/>
  <c r="L14" i="4"/>
  <c r="L15" i="4" s="1"/>
  <c r="L21" i="4" s="1"/>
  <c r="L16" i="4"/>
  <c r="N9" i="4"/>
  <c r="N11" i="4" s="1"/>
  <c r="M11" i="4"/>
  <c r="L31" i="4" l="1"/>
  <c r="L32" i="4" s="1"/>
  <c r="L34" i="4" s="1"/>
  <c r="L22" i="4"/>
  <c r="L23" i="4" s="1"/>
  <c r="L25" i="4" s="1"/>
  <c r="L28" i="4" s="1"/>
  <c r="M18" i="4"/>
  <c r="M17" i="4"/>
  <c r="M12" i="4"/>
  <c r="M13" i="4" s="1"/>
  <c r="M14" i="4"/>
  <c r="M15" i="4" s="1"/>
  <c r="M21" i="4" s="1"/>
  <c r="M16" i="4"/>
  <c r="N18" i="4"/>
  <c r="N17" i="4"/>
  <c r="N12" i="4"/>
  <c r="N16" i="4"/>
  <c r="N14" i="4"/>
  <c r="N15" i="4" s="1"/>
  <c r="N21" i="4" s="1"/>
  <c r="N13" i="4"/>
  <c r="M31" i="4" l="1"/>
  <c r="M32" i="4" s="1"/>
  <c r="M34" i="4" s="1"/>
  <c r="M22" i="4"/>
  <c r="M23" i="4" s="1"/>
  <c r="M25" i="4" s="1"/>
  <c r="M28" i="4" s="1"/>
  <c r="N31" i="4"/>
  <c r="N32" i="4" s="1"/>
  <c r="N22" i="4"/>
  <c r="N23" i="4" s="1"/>
  <c r="N25" i="4" s="1"/>
  <c r="N28" i="4" s="1"/>
</calcChain>
</file>

<file path=xl/sharedStrings.xml><?xml version="1.0" encoding="utf-8"?>
<sst xmlns="http://schemas.openxmlformats.org/spreadsheetml/2006/main" count="75" uniqueCount="73">
  <si>
    <t>Conta</t>
  </si>
  <si>
    <t>Quantidade (unid)</t>
  </si>
  <si>
    <t>Receita Bruta (R$)</t>
  </si>
  <si>
    <t>Receita Líquida (R$)</t>
  </si>
  <si>
    <t>CPV (R$)</t>
  </si>
  <si>
    <t>Lucro Bruto (R$)</t>
  </si>
  <si>
    <t>Depreciação (R$)</t>
  </si>
  <si>
    <t>Despesa Financeira (R$)</t>
  </si>
  <si>
    <t>LAIR (R$)</t>
  </si>
  <si>
    <t>IRPJ (R$)</t>
  </si>
  <si>
    <t>Lucro Líquido (R$)</t>
  </si>
  <si>
    <t>Preço unitário</t>
  </si>
  <si>
    <t>Impostos s/ Vendas</t>
  </si>
  <si>
    <t xml:space="preserve">Desp. Vendas </t>
  </si>
  <si>
    <t>X1</t>
  </si>
  <si>
    <t>X2</t>
  </si>
  <si>
    <t>X3</t>
  </si>
  <si>
    <t>X4</t>
  </si>
  <si>
    <t>X5</t>
  </si>
  <si>
    <t>X6</t>
  </si>
  <si>
    <t>20X1</t>
  </si>
  <si>
    <t>(P) aumento venda</t>
  </si>
  <si>
    <t>X7</t>
  </si>
  <si>
    <t>X8</t>
  </si>
  <si>
    <t>X9</t>
  </si>
  <si>
    <t>x10</t>
  </si>
  <si>
    <t>(P) aumento preço</t>
  </si>
  <si>
    <t>(P) aumento custo unitário</t>
  </si>
  <si>
    <t>(P) Inflação</t>
  </si>
  <si>
    <t xml:space="preserve">Desp. Adm </t>
  </si>
  <si>
    <t>(P) SELIC</t>
  </si>
  <si>
    <t>Taxa da dívida</t>
  </si>
  <si>
    <t>Retorno Esperado Mercado</t>
  </si>
  <si>
    <t>Dívida da empresa</t>
  </si>
  <si>
    <t>Patrimônio Liquido</t>
  </si>
  <si>
    <t>Beta</t>
  </si>
  <si>
    <t>Retorno capital próprio</t>
  </si>
  <si>
    <t>WACC</t>
  </si>
  <si>
    <t>Impostos sobre Venda</t>
  </si>
  <si>
    <t>Custo Unitário sobre a Venda</t>
  </si>
  <si>
    <t>(inflação)</t>
  </si>
  <si>
    <t>Despesa com vendas s/ Vendas</t>
  </si>
  <si>
    <t>Despesa Administrativa s/ vendas</t>
  </si>
  <si>
    <t>Despesa Operacionais s/ vendas</t>
  </si>
  <si>
    <t>Desp. Operacionais</t>
  </si>
  <si>
    <t>Redução de depreciação</t>
  </si>
  <si>
    <t>Dívida Da empresa</t>
  </si>
  <si>
    <t>100% SELIC</t>
  </si>
  <si>
    <t>IR e CSLL</t>
  </si>
  <si>
    <t>Lucro antes e IR (EBIT)</t>
  </si>
  <si>
    <t>Lucro Operacional após Impostos</t>
  </si>
  <si>
    <t>Fórmula = LAIR + Despesa Financeira</t>
  </si>
  <si>
    <t>Investimento (Capex)</t>
  </si>
  <si>
    <t>FCFF</t>
  </si>
  <si>
    <t>Fórmula NOPAT = EBIT x  (1-IR)</t>
  </si>
  <si>
    <t>VP do FCFF (no fim de 20x1)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</si>
  <si>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</si>
  <si>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</si>
  <si>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</si>
  <si>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</si>
  <si>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</si>
  <si>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</si>
  <si>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</si>
  <si>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</si>
  <si>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</si>
  <si>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</si>
  <si>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Perpetuidade</t>
  </si>
  <si>
    <t>Crescimentos na perpetuidade (g)</t>
  </si>
  <si>
    <t>VP Perpetuidade</t>
  </si>
  <si>
    <t xml:space="preserve"> Fórmula = FCFF ano10 * (1+g)  /  WACC ano10 - g</t>
  </si>
  <si>
    <t>Valor da empresa</t>
  </si>
  <si>
    <t>Fórmula Free Cash Flow to the Firm = NOPAT + Depr - CAPEX</t>
  </si>
  <si>
    <t>Obs.: Não tem variação no capital de giro)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</si>
</sst>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_-;\-* #,##0.0_-;_-* &quot;-&quot;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9" fontId="2" fillId="0" borderId="1" xfId="2" applyFont="1" applyBorder="1"/>
    <xf numFmtId="0" fontId="4" fillId="0" borderId="0" xfId="0" applyFont="1" applyAlignment="1">
      <alignment horizontal="center"/>
    </xf>
    <xf numFmtId="43" fontId="2" fillId="0" borderId="0" xfId="0" applyNumberFormat="1" applyFont="1"/>
    <xf numFmtId="43" fontId="2" fillId="0" borderId="0" xfId="1" applyFont="1" applyBorder="1"/>
    <xf numFmtId="0" fontId="3" fillId="0" borderId="1" xfId="0" applyFont="1" applyBorder="1"/>
    <xf numFmtId="165" fontId="2" fillId="0" borderId="1" xfId="2" applyNumberFormat="1" applyFont="1" applyBorder="1"/>
    <xf numFmtId="167" fontId="2" fillId="0" borderId="1" xfId="0" applyNumberFormat="1" applyFont="1" applyBorder="1"/>
    <xf numFmtId="167" fontId="2" fillId="0" borderId="0" xfId="0" applyNumberFormat="1" applyFont="1"/>
    <xf numFmtId="165" fontId="2" fillId="4" borderId="1" xfId="2" applyNumberFormat="1" applyFont="1" applyFill="1" applyBorder="1"/>
    <xf numFmtId="164" fontId="2" fillId="4" borderId="1" xfId="1" applyNumberFormat="1" applyFont="1" applyFill="1" applyBorder="1"/>
    <xf numFmtId="166" fontId="3" fillId="3" borderId="1" xfId="1" applyNumberFormat="1" applyFont="1" applyFill="1" applyBorder="1"/>
    <xf numFmtId="43" fontId="3" fillId="3" borderId="1" xfId="1" applyFont="1" applyFill="1" applyBorder="1"/>
    <xf numFmtId="0" fontId="3" fillId="2" borderId="1" xfId="0" applyFont="1" applyFill="1" applyBorder="1"/>
    <xf numFmtId="10" fontId="2" fillId="5" borderId="1" xfId="2" applyNumberFormat="1" applyFont="1" applyFill="1" applyBorder="1"/>
    <xf numFmtId="9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9" fontId="2" fillId="0" borderId="1" xfId="0" applyNumberFormat="1" applyFont="1" applyBorder="1" applyAlignment="1">
      <alignment horizontal="right"/>
    </xf>
    <xf numFmtId="167" fontId="2" fillId="4" borderId="1" xfId="0" applyNumberFormat="1" applyFont="1" applyFill="1" applyBorder="1"/>
    <xf numFmtId="164" fontId="2" fillId="2" borderId="1" xfId="1" applyNumberFormat="1" applyFont="1" applyFill="1" applyBorder="1"/>
    <xf numFmtId="2" fontId="2" fillId="0" borderId="1" xfId="0" applyNumberFormat="1" applyFont="1" applyBorder="1"/>
    <xf numFmtId="43" fontId="2" fillId="2" borderId="1" xfId="1" applyFont="1" applyFill="1" applyBorder="1"/>
    <xf numFmtId="43" fontId="2" fillId="4" borderId="1" xfId="1" applyFont="1" applyFill="1" applyBorder="1"/>
    <xf numFmtId="0" fontId="2" fillId="4" borderId="0" xfId="0" applyFont="1" applyFill="1"/>
    <xf numFmtId="166" fontId="2" fillId="0" borderId="1" xfId="0" applyNumberFormat="1" applyFont="1" applyBorder="1"/>
    <xf numFmtId="43" fontId="2" fillId="0" borderId="1" xfId="0" applyNumberFormat="1" applyFont="1" applyBorder="1"/>
    <xf numFmtId="0" fontId="3" fillId="0" borderId="0" xfId="0" applyFo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F996-1E51-4E2B-9700-3D6D983A30A2}">
  <dimension ref="B1:T51"/>
  <sheetViews>
    <sheetView showGridLines="0" tabSelected="1" zoomScale="60" zoomScaleNormal="60" workbookViewId="0">
      <selection activeCell="Q36" sqref="Q36"/>
    </sheetView>
  </sheetViews>
  <sheetFormatPr defaultColWidth="9.140625" defaultRowHeight="21" outlineLevelCol="1" x14ac:dyDescent="0.35"/>
  <cols>
    <col min="1" max="1" width="9.140625" style="1"/>
    <col min="2" max="2" width="46.7109375" style="1" customWidth="1" collapsed="1"/>
    <col min="3" max="3" width="5.28515625" style="1" hidden="1" customWidth="1"/>
    <col min="4" max="4" width="23.5703125" style="1" customWidth="1" outlineLevel="1"/>
    <col min="5" max="6" width="21.140625" style="1" bestFit="1" customWidth="1"/>
    <col min="7" max="7" width="22.42578125" style="1" customWidth="1"/>
    <col min="8" max="14" width="21.140625" style="1" bestFit="1" customWidth="1"/>
    <col min="15" max="15" width="2.85546875" style="1" customWidth="1"/>
    <col min="16" max="16" width="5.7109375" style="1" customWidth="1"/>
    <col min="17" max="17" width="43.28515625" style="1" customWidth="1"/>
    <col min="18" max="18" width="17.140625" style="1" bestFit="1" customWidth="1"/>
    <col min="19" max="16384" width="9.140625" style="1"/>
  </cols>
  <sheetData>
    <row r="1" spans="2:20" ht="6.75" customHeight="1" x14ac:dyDescent="0.35">
      <c r="E1" s="7">
        <v>1</v>
      </c>
      <c r="F1" s="7">
        <v>2</v>
      </c>
      <c r="G1" s="7">
        <v>3</v>
      </c>
      <c r="H1" s="7">
        <v>4</v>
      </c>
      <c r="I1" s="7">
        <v>5</v>
      </c>
      <c r="J1" s="7">
        <v>6</v>
      </c>
      <c r="K1" s="7"/>
      <c r="L1" s="7"/>
      <c r="M1" s="7"/>
      <c r="N1" s="7"/>
    </row>
    <row r="2" spans="2:20" x14ac:dyDescent="0.35">
      <c r="B2" s="2" t="s">
        <v>0</v>
      </c>
      <c r="C2" s="3"/>
      <c r="D2" s="3" t="s">
        <v>20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22</v>
      </c>
      <c r="L2" s="3" t="s">
        <v>23</v>
      </c>
      <c r="M2" s="3" t="s">
        <v>24</v>
      </c>
      <c r="N2" s="3" t="s">
        <v>25</v>
      </c>
    </row>
    <row r="3" spans="2:20" x14ac:dyDescent="0.35">
      <c r="B3" s="10" t="s">
        <v>21</v>
      </c>
      <c r="C3" s="10"/>
      <c r="D3" s="4"/>
      <c r="E3" s="14">
        <v>1.4999999999999999E-2</v>
      </c>
      <c r="F3" s="14">
        <v>1.4999999999999999E-2</v>
      </c>
      <c r="G3" s="14">
        <v>0.01</v>
      </c>
      <c r="H3" s="14">
        <v>0.01</v>
      </c>
      <c r="I3" s="14">
        <v>0.01</v>
      </c>
      <c r="J3" s="14">
        <v>0.01</v>
      </c>
      <c r="K3" s="14">
        <v>0.01</v>
      </c>
      <c r="L3" s="14">
        <v>0.01</v>
      </c>
      <c r="M3" s="14">
        <f t="shared" ref="M3:N3" si="0">L3</f>
        <v>0.01</v>
      </c>
      <c r="N3" s="14">
        <f t="shared" si="0"/>
        <v>0.01</v>
      </c>
      <c r="Q3" s="4" t="s">
        <v>38</v>
      </c>
      <c r="R3" s="20">
        <v>0.15</v>
      </c>
    </row>
    <row r="4" spans="2:20" x14ac:dyDescent="0.35">
      <c r="B4" s="10" t="s">
        <v>26</v>
      </c>
      <c r="C4" s="10"/>
      <c r="D4" s="4"/>
      <c r="E4" s="11">
        <v>5.0999999999999997E-2</v>
      </c>
      <c r="F4" s="11">
        <v>5.0999999999999997E-2</v>
      </c>
      <c r="G4" s="11">
        <v>4.2000000000000003E-2</v>
      </c>
      <c r="H4" s="11">
        <v>4.2000000000000003E-2</v>
      </c>
      <c r="I4" s="11">
        <v>4.2000000000000003E-2</v>
      </c>
      <c r="J4" s="11">
        <v>4.2000000000000003E-2</v>
      </c>
      <c r="K4" s="11">
        <v>4.2000000000000003E-2</v>
      </c>
      <c r="L4" s="11">
        <v>4.2000000000000003E-2</v>
      </c>
      <c r="M4" s="11">
        <v>4.2000000000000003E-2</v>
      </c>
      <c r="N4" s="11">
        <v>4.2000000000000003E-2</v>
      </c>
      <c r="Q4" s="4" t="s">
        <v>31</v>
      </c>
      <c r="R4" s="23" t="s">
        <v>47</v>
      </c>
    </row>
    <row r="5" spans="2:20" x14ac:dyDescent="0.35">
      <c r="B5" s="10" t="s">
        <v>27</v>
      </c>
      <c r="C5" s="10"/>
      <c r="D5" s="4"/>
      <c r="E5" s="11">
        <v>5.1999999999999998E-2</v>
      </c>
      <c r="F5" s="11">
        <f>E5</f>
        <v>5.1999999999999998E-2</v>
      </c>
      <c r="G5" s="11">
        <v>4.8000000000000001E-2</v>
      </c>
      <c r="H5" s="11">
        <f t="shared" ref="H5:N5" si="1">G5</f>
        <v>4.8000000000000001E-2</v>
      </c>
      <c r="I5" s="11">
        <f t="shared" si="1"/>
        <v>4.8000000000000001E-2</v>
      </c>
      <c r="J5" s="11">
        <f t="shared" si="1"/>
        <v>4.8000000000000001E-2</v>
      </c>
      <c r="K5" s="11">
        <f t="shared" si="1"/>
        <v>4.8000000000000001E-2</v>
      </c>
      <c r="L5" s="11">
        <f t="shared" si="1"/>
        <v>4.8000000000000001E-2</v>
      </c>
      <c r="M5" s="11">
        <f t="shared" si="1"/>
        <v>4.8000000000000001E-2</v>
      </c>
      <c r="N5" s="11">
        <f t="shared" si="1"/>
        <v>4.8000000000000001E-2</v>
      </c>
      <c r="Q5" s="4" t="s">
        <v>32</v>
      </c>
      <c r="R5" s="20">
        <v>0.18</v>
      </c>
    </row>
    <row r="6" spans="2:20" x14ac:dyDescent="0.35">
      <c r="B6" s="10" t="s">
        <v>28</v>
      </c>
      <c r="C6" s="10"/>
      <c r="D6" s="4"/>
      <c r="E6" s="11">
        <v>0.05</v>
      </c>
      <c r="F6" s="11">
        <v>0.05</v>
      </c>
      <c r="G6" s="11">
        <v>0.04</v>
      </c>
      <c r="H6" s="11">
        <v>0.04</v>
      </c>
      <c r="I6" s="11">
        <v>0.04</v>
      </c>
      <c r="J6" s="11">
        <v>0.04</v>
      </c>
      <c r="K6" s="11">
        <v>0.04</v>
      </c>
      <c r="L6" s="11">
        <v>0.04</v>
      </c>
      <c r="M6" s="11">
        <v>0.04</v>
      </c>
      <c r="N6" s="11">
        <v>0.04</v>
      </c>
      <c r="Q6" s="4" t="s">
        <v>33</v>
      </c>
      <c r="R6" s="5">
        <v>253500</v>
      </c>
    </row>
    <row r="7" spans="2:20" x14ac:dyDescent="0.35">
      <c r="B7" s="10" t="s">
        <v>30</v>
      </c>
      <c r="C7" s="10"/>
      <c r="D7" s="6">
        <v>0.1</v>
      </c>
      <c r="E7" s="11">
        <v>0.1</v>
      </c>
      <c r="F7" s="11">
        <f>E7</f>
        <v>0.1</v>
      </c>
      <c r="G7" s="11">
        <v>0.08</v>
      </c>
      <c r="H7" s="11">
        <v>0.08</v>
      </c>
      <c r="I7" s="11">
        <v>0.08</v>
      </c>
      <c r="J7" s="11">
        <v>0.08</v>
      </c>
      <c r="K7" s="11">
        <f t="shared" ref="K7:N7" si="2">J7</f>
        <v>0.08</v>
      </c>
      <c r="L7" s="11">
        <f t="shared" si="2"/>
        <v>0.08</v>
      </c>
      <c r="M7" s="11">
        <f t="shared" si="2"/>
        <v>0.08</v>
      </c>
      <c r="N7" s="11">
        <f t="shared" si="2"/>
        <v>0.08</v>
      </c>
      <c r="Q7" s="4" t="s">
        <v>35</v>
      </c>
      <c r="R7" s="5">
        <v>1.2</v>
      </c>
    </row>
    <row r="8" spans="2:20" x14ac:dyDescent="0.35">
      <c r="B8" s="10" t="s">
        <v>46</v>
      </c>
      <c r="C8" s="10"/>
      <c r="D8" s="24">
        <v>250000</v>
      </c>
      <c r="E8" s="24">
        <f>D8</f>
        <v>250000</v>
      </c>
      <c r="F8" s="24">
        <v>450000</v>
      </c>
      <c r="G8" s="24">
        <v>450000</v>
      </c>
      <c r="H8" s="24">
        <v>450000</v>
      </c>
      <c r="I8" s="24">
        <v>450000</v>
      </c>
      <c r="J8" s="24">
        <v>450000</v>
      </c>
      <c r="K8" s="24">
        <v>300000</v>
      </c>
      <c r="L8" s="24">
        <v>250000</v>
      </c>
      <c r="M8" s="24">
        <v>200000</v>
      </c>
      <c r="N8" s="24">
        <v>200000</v>
      </c>
      <c r="Q8" s="4" t="s">
        <v>48</v>
      </c>
      <c r="R8" s="20">
        <v>0.34</v>
      </c>
    </row>
    <row r="9" spans="2:20" x14ac:dyDescent="0.35">
      <c r="B9" s="10" t="s">
        <v>1</v>
      </c>
      <c r="C9" s="10"/>
      <c r="D9" s="15">
        <v>1450</v>
      </c>
      <c r="E9" s="15">
        <f>D9*(E3+1)</f>
        <v>1471.7499999999998</v>
      </c>
      <c r="F9" s="15">
        <f>E9*(F3+1)</f>
        <v>1493.8262499999996</v>
      </c>
      <c r="G9" s="15">
        <f t="shared" ref="G9:N9" si="3">F9*(G3+1)</f>
        <v>1508.7645124999997</v>
      </c>
      <c r="H9" s="15">
        <f t="shared" si="3"/>
        <v>1523.8521576249998</v>
      </c>
      <c r="I9" s="15">
        <f t="shared" si="3"/>
        <v>1539.0906792012497</v>
      </c>
      <c r="J9" s="15">
        <f t="shared" si="3"/>
        <v>1554.4815859932621</v>
      </c>
      <c r="K9" s="15">
        <f t="shared" si="3"/>
        <v>1570.0264018531948</v>
      </c>
      <c r="L9" s="15">
        <f t="shared" si="3"/>
        <v>1585.7266658717267</v>
      </c>
      <c r="M9" s="15">
        <f t="shared" si="3"/>
        <v>1601.5839325304439</v>
      </c>
      <c r="N9" s="25">
        <f t="shared" si="3"/>
        <v>1617.5997718557483</v>
      </c>
      <c r="Q9" s="21" t="s">
        <v>39</v>
      </c>
      <c r="R9" s="22"/>
      <c r="S9" s="20">
        <v>0.5</v>
      </c>
    </row>
    <row r="10" spans="2:20" x14ac:dyDescent="0.35">
      <c r="B10" s="10" t="s">
        <v>11</v>
      </c>
      <c r="C10" s="10"/>
      <c r="D10" s="26">
        <v>780</v>
      </c>
      <c r="E10" s="5">
        <f>D10*(E4+1)</f>
        <v>819.78</v>
      </c>
      <c r="F10" s="5">
        <f t="shared" ref="F10:N10" si="4">E10*(F4+1)</f>
        <v>861.58877999999993</v>
      </c>
      <c r="G10" s="5">
        <f t="shared" si="4"/>
        <v>897.77550875999998</v>
      </c>
      <c r="H10" s="5">
        <f t="shared" si="4"/>
        <v>935.48208012791997</v>
      </c>
      <c r="I10" s="5">
        <f t="shared" si="4"/>
        <v>974.77232749329266</v>
      </c>
      <c r="J10" s="5">
        <f t="shared" si="4"/>
        <v>1015.712765248011</v>
      </c>
      <c r="K10" s="5">
        <f t="shared" si="4"/>
        <v>1058.3727013884275</v>
      </c>
      <c r="L10" s="5">
        <f t="shared" si="4"/>
        <v>1102.8243548467415</v>
      </c>
      <c r="M10" s="5">
        <f>L10*(M4+1)</f>
        <v>1149.1429777503047</v>
      </c>
      <c r="N10" s="27">
        <f t="shared" si="4"/>
        <v>1197.4069828158176</v>
      </c>
      <c r="Q10" s="21" t="s">
        <v>41</v>
      </c>
      <c r="R10" s="22"/>
      <c r="S10" s="20">
        <v>0.05</v>
      </c>
      <c r="T10" s="1" t="s">
        <v>40</v>
      </c>
    </row>
    <row r="11" spans="2:20" x14ac:dyDescent="0.35">
      <c r="B11" s="10" t="s">
        <v>2</v>
      </c>
      <c r="C11" s="10"/>
      <c r="D11" s="16">
        <f>D9*D10</f>
        <v>1131000</v>
      </c>
      <c r="E11" s="17">
        <f>E9*E10</f>
        <v>1206511.2149999999</v>
      </c>
      <c r="F11" s="17">
        <f t="shared" ref="F11:N11" si="5">F9*F10</f>
        <v>1287063.9362694744</v>
      </c>
      <c r="G11" s="17">
        <f t="shared" si="5"/>
        <v>1354531.8278087205</v>
      </c>
      <c r="H11" s="17">
        <f t="shared" si="5"/>
        <v>1425536.3862224538</v>
      </c>
      <c r="I11" s="17">
        <f t="shared" si="5"/>
        <v>1500263.0035882348</v>
      </c>
      <c r="J11" s="17">
        <f t="shared" si="5"/>
        <v>1578906.7902363301</v>
      </c>
      <c r="K11" s="17">
        <f t="shared" si="5"/>
        <v>1661673.0841805185</v>
      </c>
      <c r="L11" s="17">
        <f t="shared" si="5"/>
        <v>1748777.9872532615</v>
      </c>
      <c r="M11" s="17">
        <f t="shared" si="5"/>
        <v>1840448.9293450774</v>
      </c>
      <c r="N11" s="17">
        <f t="shared" si="5"/>
        <v>1936925.2622213464</v>
      </c>
      <c r="Q11" s="21" t="s">
        <v>42</v>
      </c>
      <c r="R11" s="22"/>
      <c r="S11" s="20">
        <v>0.05</v>
      </c>
      <c r="T11" s="1" t="s">
        <v>40</v>
      </c>
    </row>
    <row r="12" spans="2:20" x14ac:dyDescent="0.35">
      <c r="B12" s="10" t="s">
        <v>12</v>
      </c>
      <c r="C12" s="10"/>
      <c r="D12" s="12">
        <f t="shared" ref="D12" si="6">D11*-$R$3</f>
        <v>-169650</v>
      </c>
      <c r="E12" s="12">
        <f>E11*-0.15</f>
        <v>-180976.68224999998</v>
      </c>
      <c r="F12" s="12">
        <f t="shared" ref="F12:N12" si="7">F11*-0.15</f>
        <v>-193059.59044042116</v>
      </c>
      <c r="G12" s="12">
        <f t="shared" si="7"/>
        <v>-203179.77417130806</v>
      </c>
      <c r="H12" s="12">
        <f t="shared" si="7"/>
        <v>-213830.45793336807</v>
      </c>
      <c r="I12" s="12">
        <f t="shared" si="7"/>
        <v>-225039.45053823522</v>
      </c>
      <c r="J12" s="12">
        <f t="shared" si="7"/>
        <v>-236836.01853544952</v>
      </c>
      <c r="K12" s="12">
        <f t="shared" si="7"/>
        <v>-249250.96262707777</v>
      </c>
      <c r="L12" s="12">
        <f t="shared" si="7"/>
        <v>-262316.69808798924</v>
      </c>
      <c r="M12" s="12">
        <f t="shared" si="7"/>
        <v>-276067.33940176159</v>
      </c>
      <c r="N12" s="12">
        <f t="shared" si="7"/>
        <v>-290538.78933320194</v>
      </c>
      <c r="Q12" s="21" t="s">
        <v>43</v>
      </c>
      <c r="R12" s="22"/>
      <c r="S12" s="20">
        <v>0.1</v>
      </c>
      <c r="T12" s="1" t="s">
        <v>40</v>
      </c>
    </row>
    <row r="13" spans="2:20" x14ac:dyDescent="0.35">
      <c r="B13" s="10" t="s">
        <v>3</v>
      </c>
      <c r="C13" s="10"/>
      <c r="D13" s="16">
        <f>D11+D12</f>
        <v>961350</v>
      </c>
      <c r="E13" s="17">
        <f>E11+E12</f>
        <v>1025534.5327499999</v>
      </c>
      <c r="F13" s="17">
        <f t="shared" ref="F13:N13" si="8">F11+F12</f>
        <v>1094004.3458290533</v>
      </c>
      <c r="G13" s="17">
        <f t="shared" si="8"/>
        <v>1151352.0536374124</v>
      </c>
      <c r="H13" s="17">
        <f t="shared" si="8"/>
        <v>1211705.9282890856</v>
      </c>
      <c r="I13" s="17">
        <f t="shared" si="8"/>
        <v>1275223.5530499995</v>
      </c>
      <c r="J13" s="17">
        <f>J11+J12</f>
        <v>1342070.7717008805</v>
      </c>
      <c r="K13" s="17">
        <f t="shared" si="8"/>
        <v>1412422.1215534408</v>
      </c>
      <c r="L13" s="17">
        <f t="shared" si="8"/>
        <v>1486461.2891652724</v>
      </c>
      <c r="M13" s="17">
        <f t="shared" si="8"/>
        <v>1564381.5899433158</v>
      </c>
      <c r="N13" s="17">
        <f t="shared" si="8"/>
        <v>1646386.4728881444</v>
      </c>
      <c r="Q13" s="21" t="s">
        <v>45</v>
      </c>
      <c r="R13" s="22"/>
      <c r="S13" s="20">
        <v>0.02</v>
      </c>
    </row>
    <row r="14" spans="2:20" x14ac:dyDescent="0.35">
      <c r="B14" s="10" t="s">
        <v>4</v>
      </c>
      <c r="C14" s="10"/>
      <c r="D14" s="24">
        <f>D11*-S9</f>
        <v>-565500</v>
      </c>
      <c r="E14" s="28">
        <f>E11/2*-1</f>
        <v>-603255.60749999993</v>
      </c>
      <c r="F14" s="28">
        <f>F11/2*-1</f>
        <v>-643531.96813473722</v>
      </c>
      <c r="G14" s="28">
        <f t="shared" ref="G14:N14" si="9">G11/2*-1</f>
        <v>-677265.91390436026</v>
      </c>
      <c r="H14" s="28">
        <f t="shared" si="9"/>
        <v>-712768.19311122689</v>
      </c>
      <c r="I14" s="28">
        <f t="shared" si="9"/>
        <v>-750131.50179411739</v>
      </c>
      <c r="J14" s="28">
        <f t="shared" si="9"/>
        <v>-789453.39511816506</v>
      </c>
      <c r="K14" s="28">
        <f t="shared" si="9"/>
        <v>-830836.54209025926</v>
      </c>
      <c r="L14" s="28">
        <f t="shared" si="9"/>
        <v>-874388.99362663075</v>
      </c>
      <c r="M14" s="28">
        <f t="shared" si="9"/>
        <v>-920224.46467253868</v>
      </c>
      <c r="N14" s="28">
        <f t="shared" si="9"/>
        <v>-968462.63111067319</v>
      </c>
      <c r="O14" s="29"/>
      <c r="P14" s="29"/>
      <c r="Q14" s="21" t="s">
        <v>67</v>
      </c>
      <c r="R14" s="22"/>
      <c r="S14" s="20">
        <v>0.01</v>
      </c>
    </row>
    <row r="15" spans="2:20" x14ac:dyDescent="0.35">
      <c r="B15" s="10" t="s">
        <v>5</v>
      </c>
      <c r="C15" s="10"/>
      <c r="D15" s="24">
        <f>D11+D14</f>
        <v>565500</v>
      </c>
      <c r="E15" s="28">
        <f>E11+E14</f>
        <v>603255.60749999993</v>
      </c>
      <c r="F15" s="24">
        <f t="shared" ref="F15:N15" si="10">F11+F14</f>
        <v>643531.96813473722</v>
      </c>
      <c r="G15" s="24">
        <f t="shared" si="10"/>
        <v>677265.91390436026</v>
      </c>
      <c r="H15" s="24">
        <f t="shared" si="10"/>
        <v>712768.19311122689</v>
      </c>
      <c r="I15" s="24">
        <f t="shared" si="10"/>
        <v>750131.50179411739</v>
      </c>
      <c r="J15" s="24">
        <f t="shared" si="10"/>
        <v>789453.39511816506</v>
      </c>
      <c r="K15" s="24">
        <f t="shared" si="10"/>
        <v>830836.54209025926</v>
      </c>
      <c r="L15" s="24">
        <f t="shared" si="10"/>
        <v>874388.99362663075</v>
      </c>
      <c r="M15" s="24">
        <f t="shared" si="10"/>
        <v>920224.46467253868</v>
      </c>
      <c r="N15" s="24">
        <f t="shared" si="10"/>
        <v>968462.63111067319</v>
      </c>
      <c r="O15" s="29"/>
      <c r="P15" s="29"/>
      <c r="Q15" s="29"/>
      <c r="R15" s="29"/>
    </row>
    <row r="16" spans="2:20" x14ac:dyDescent="0.35">
      <c r="B16" s="10" t="s">
        <v>13</v>
      </c>
      <c r="C16" s="10"/>
      <c r="D16" s="24">
        <f>D11*-S10</f>
        <v>-56550</v>
      </c>
      <c r="E16" s="24">
        <f>E17</f>
        <v>-60325.560749999997</v>
      </c>
      <c r="F16" s="24">
        <f t="shared" ref="F16:N16" si="11">F11*-0.05</f>
        <v>-64353.196813473725</v>
      </c>
      <c r="G16" s="24">
        <f t="shared" si="11"/>
        <v>-67726.591390436035</v>
      </c>
      <c r="H16" s="24">
        <f t="shared" si="11"/>
        <v>-71276.819311122686</v>
      </c>
      <c r="I16" s="24">
        <f t="shared" si="11"/>
        <v>-75013.150179411736</v>
      </c>
      <c r="J16" s="24">
        <f t="shared" si="11"/>
        <v>-78945.339511816506</v>
      </c>
      <c r="K16" s="24">
        <f t="shared" si="11"/>
        <v>-83083.654209025932</v>
      </c>
      <c r="L16" s="24">
        <f t="shared" si="11"/>
        <v>-87438.899362663084</v>
      </c>
      <c r="M16" s="24">
        <f t="shared" si="11"/>
        <v>-92022.446467253874</v>
      </c>
      <c r="N16" s="24">
        <f t="shared" si="11"/>
        <v>-96846.263111067325</v>
      </c>
      <c r="O16" s="29"/>
      <c r="P16" s="29"/>
      <c r="Q16" s="29"/>
      <c r="R16" s="29"/>
    </row>
    <row r="17" spans="2:18" x14ac:dyDescent="0.35">
      <c r="B17" s="10" t="s">
        <v>29</v>
      </c>
      <c r="C17" s="10"/>
      <c r="D17" s="24">
        <f>D11*-S11</f>
        <v>-56550</v>
      </c>
      <c r="E17" s="24">
        <f>E11*-0.05</f>
        <v>-60325.560749999997</v>
      </c>
      <c r="F17" s="24">
        <f t="shared" ref="F17:N17" si="12">F11*-0.05</f>
        <v>-64353.196813473725</v>
      </c>
      <c r="G17" s="24">
        <f t="shared" si="12"/>
        <v>-67726.591390436035</v>
      </c>
      <c r="H17" s="24">
        <f t="shared" si="12"/>
        <v>-71276.819311122686</v>
      </c>
      <c r="I17" s="24">
        <f t="shared" si="12"/>
        <v>-75013.150179411736</v>
      </c>
      <c r="J17" s="24">
        <f t="shared" si="12"/>
        <v>-78945.339511816506</v>
      </c>
      <c r="K17" s="24">
        <f t="shared" si="12"/>
        <v>-83083.654209025932</v>
      </c>
      <c r="L17" s="24">
        <f t="shared" si="12"/>
        <v>-87438.899362663084</v>
      </c>
      <c r="M17" s="24">
        <f t="shared" si="12"/>
        <v>-92022.446467253874</v>
      </c>
      <c r="N17" s="24">
        <f t="shared" si="12"/>
        <v>-96846.263111067325</v>
      </c>
      <c r="O17" s="29"/>
      <c r="P17" s="29"/>
      <c r="Q17" s="29"/>
      <c r="R17" s="29"/>
    </row>
    <row r="18" spans="2:18" x14ac:dyDescent="0.35">
      <c r="B18" s="10" t="s">
        <v>44</v>
      </c>
      <c r="C18" s="10"/>
      <c r="D18" s="24">
        <f>D11*-S12</f>
        <v>-113100</v>
      </c>
      <c r="E18" s="24">
        <f>E11*-0.1</f>
        <v>-120651.12149999999</v>
      </c>
      <c r="F18" s="24">
        <f t="shared" ref="F18:N18" si="13">F11*-0.1</f>
        <v>-128706.39362694745</v>
      </c>
      <c r="G18" s="24">
        <f t="shared" si="13"/>
        <v>-135453.18278087207</v>
      </c>
      <c r="H18" s="24">
        <f t="shared" si="13"/>
        <v>-142553.63862224537</v>
      </c>
      <c r="I18" s="24">
        <f t="shared" si="13"/>
        <v>-150026.30035882347</v>
      </c>
      <c r="J18" s="24">
        <f t="shared" si="13"/>
        <v>-157890.67902363301</v>
      </c>
      <c r="K18" s="24">
        <f t="shared" si="13"/>
        <v>-166167.30841805186</v>
      </c>
      <c r="L18" s="24">
        <f t="shared" si="13"/>
        <v>-174877.79872532617</v>
      </c>
      <c r="M18" s="24">
        <f t="shared" si="13"/>
        <v>-184044.89293450775</v>
      </c>
      <c r="N18" s="24">
        <f t="shared" si="13"/>
        <v>-193692.52622213465</v>
      </c>
      <c r="O18" s="29"/>
      <c r="P18" s="29"/>
      <c r="Q18" s="29"/>
      <c r="R18" s="29"/>
    </row>
    <row r="19" spans="2:18" x14ac:dyDescent="0.35">
      <c r="B19" s="10" t="s">
        <v>6</v>
      </c>
      <c r="C19" s="10"/>
      <c r="D19" s="24">
        <v>-15000</v>
      </c>
      <c r="E19" s="24">
        <f>D19*(0.98)</f>
        <v>-14700</v>
      </c>
      <c r="F19" s="24">
        <f>E19*(0.98)</f>
        <v>-14406</v>
      </c>
      <c r="G19" s="24">
        <f t="shared" ref="G19:N19" si="14">F19*(0.98)</f>
        <v>-14117.88</v>
      </c>
      <c r="H19" s="24">
        <f t="shared" si="14"/>
        <v>-13835.5224</v>
      </c>
      <c r="I19" s="24">
        <f t="shared" si="14"/>
        <v>-13558.811952</v>
      </c>
      <c r="J19" s="24">
        <f t="shared" si="14"/>
        <v>-13287.63571296</v>
      </c>
      <c r="K19" s="24">
        <f t="shared" si="14"/>
        <v>-13021.882998700799</v>
      </c>
      <c r="L19" s="24">
        <f t="shared" si="14"/>
        <v>-12761.445338726784</v>
      </c>
      <c r="M19" s="24">
        <f t="shared" si="14"/>
        <v>-12506.216431952249</v>
      </c>
      <c r="N19" s="24">
        <f t="shared" si="14"/>
        <v>-12256.092103313204</v>
      </c>
      <c r="O19" s="29"/>
      <c r="P19" s="29"/>
      <c r="Q19" s="29"/>
      <c r="R19" s="29"/>
    </row>
    <row r="20" spans="2:18" x14ac:dyDescent="0.35">
      <c r="B20" s="10" t="s">
        <v>7</v>
      </c>
      <c r="C20" s="10"/>
      <c r="D20" s="24">
        <f>D8*-D7</f>
        <v>-25000</v>
      </c>
      <c r="E20" s="24">
        <f>E8*(-E7)</f>
        <v>-25000</v>
      </c>
      <c r="F20" s="24">
        <f>F8*(-F7)</f>
        <v>-45000</v>
      </c>
      <c r="G20" s="24">
        <f t="shared" ref="G20:N20" si="15">G8*(-G7)</f>
        <v>-36000</v>
      </c>
      <c r="H20" s="24">
        <f t="shared" si="15"/>
        <v>-36000</v>
      </c>
      <c r="I20" s="24">
        <f t="shared" si="15"/>
        <v>-36000</v>
      </c>
      <c r="J20" s="24">
        <f t="shared" si="15"/>
        <v>-36000</v>
      </c>
      <c r="K20" s="24">
        <f t="shared" si="15"/>
        <v>-24000</v>
      </c>
      <c r="L20" s="24">
        <f t="shared" si="15"/>
        <v>-20000</v>
      </c>
      <c r="M20" s="24">
        <f t="shared" si="15"/>
        <v>-16000</v>
      </c>
      <c r="N20" s="24">
        <f t="shared" si="15"/>
        <v>-16000</v>
      </c>
      <c r="O20" s="29"/>
      <c r="P20" s="29"/>
      <c r="Q20" s="29"/>
      <c r="R20" s="29"/>
    </row>
    <row r="21" spans="2:18" x14ac:dyDescent="0.35">
      <c r="B21" s="10" t="s">
        <v>8</v>
      </c>
      <c r="C21" s="10"/>
      <c r="D21" s="16">
        <f t="shared" ref="D21" si="16">D15+SUM(D16:D20)</f>
        <v>299300</v>
      </c>
      <c r="E21" s="17">
        <f>SUM(E15:E20)</f>
        <v>322253.36449999997</v>
      </c>
      <c r="F21" s="17">
        <f t="shared" ref="F21:N21" si="17">SUM(F15:F20)</f>
        <v>326713.18088084238</v>
      </c>
      <c r="G21" s="17">
        <f t="shared" si="17"/>
        <v>356241.66834261606</v>
      </c>
      <c r="H21" s="17">
        <f t="shared" si="17"/>
        <v>377825.39346673619</v>
      </c>
      <c r="I21" s="17">
        <f t="shared" si="17"/>
        <v>400520.08912447037</v>
      </c>
      <c r="J21" s="17">
        <f t="shared" si="17"/>
        <v>424384.40135793906</v>
      </c>
      <c r="K21" s="17">
        <f t="shared" si="17"/>
        <v>461480.04225545481</v>
      </c>
      <c r="L21" s="17">
        <f t="shared" si="17"/>
        <v>491871.95083725167</v>
      </c>
      <c r="M21" s="17">
        <f t="shared" si="17"/>
        <v>523628.46237157111</v>
      </c>
      <c r="N21" s="17">
        <f t="shared" si="17"/>
        <v>552821.4865630907</v>
      </c>
    </row>
    <row r="22" spans="2:18" x14ac:dyDescent="0.35">
      <c r="B22" s="10" t="s">
        <v>9</v>
      </c>
      <c r="C22" s="10"/>
      <c r="D22" s="24">
        <f t="shared" ref="D22" si="18">D21*-$R$8</f>
        <v>-101762.00000000001</v>
      </c>
      <c r="E22" s="24">
        <f>E21*(-0.34)</f>
        <v>-109566.14392999999</v>
      </c>
      <c r="F22" s="24">
        <f t="shared" ref="F22:N22" si="19">F21*(-0.34)</f>
        <v>-111082.48149948641</v>
      </c>
      <c r="G22" s="24">
        <f t="shared" si="19"/>
        <v>-121122.16723648946</v>
      </c>
      <c r="H22" s="24">
        <f t="shared" si="19"/>
        <v>-128460.63377869032</v>
      </c>
      <c r="I22" s="24">
        <f t="shared" si="19"/>
        <v>-136176.83030231993</v>
      </c>
      <c r="J22" s="24">
        <f t="shared" si="19"/>
        <v>-144290.69646169929</v>
      </c>
      <c r="K22" s="24">
        <f t="shared" si="19"/>
        <v>-156903.21436685463</v>
      </c>
      <c r="L22" s="24">
        <f t="shared" si="19"/>
        <v>-167236.46328466557</v>
      </c>
      <c r="M22" s="24">
        <f t="shared" si="19"/>
        <v>-178033.67720633419</v>
      </c>
      <c r="N22" s="24">
        <f t="shared" si="19"/>
        <v>-187959.30543145086</v>
      </c>
    </row>
    <row r="23" spans="2:18" x14ac:dyDescent="0.35">
      <c r="B23" s="10" t="s">
        <v>10</v>
      </c>
      <c r="C23" s="10"/>
      <c r="D23" s="16">
        <f>D21+D22</f>
        <v>197538</v>
      </c>
      <c r="E23" s="16">
        <f>E21+E22</f>
        <v>212687.22056999998</v>
      </c>
      <c r="F23" s="16">
        <f>F21+F22</f>
        <v>215630.69938135595</v>
      </c>
      <c r="G23" s="16">
        <f t="shared" ref="G23:N23" si="20">G21+G22</f>
        <v>235119.50110612658</v>
      </c>
      <c r="H23" s="16">
        <f t="shared" si="20"/>
        <v>249364.75968804589</v>
      </c>
      <c r="I23" s="16">
        <f t="shared" si="20"/>
        <v>264343.25882215041</v>
      </c>
      <c r="J23" s="16">
        <f t="shared" si="20"/>
        <v>280093.7048962398</v>
      </c>
      <c r="K23" s="16">
        <f t="shared" si="20"/>
        <v>304576.82788860018</v>
      </c>
      <c r="L23" s="16">
        <f t="shared" si="20"/>
        <v>324635.48755258613</v>
      </c>
      <c r="M23" s="16">
        <f t="shared" si="20"/>
        <v>345594.78516523691</v>
      </c>
      <c r="N23" s="16">
        <f t="shared" si="20"/>
        <v>364862.18113163987</v>
      </c>
    </row>
    <row r="24" spans="2:18" ht="8.25" customHeight="1" x14ac:dyDescent="0.35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8" ht="23.25" customHeight="1" x14ac:dyDescent="0.35">
      <c r="B25" s="4" t="s">
        <v>34</v>
      </c>
      <c r="C25" s="4"/>
      <c r="D25" s="5">
        <v>1000000</v>
      </c>
      <c r="E25" s="5">
        <f>E23+D25</f>
        <v>1212687.2205699999</v>
      </c>
      <c r="F25" s="5">
        <f t="shared" ref="F25:N25" si="21">F23+E25</f>
        <v>1428317.9199513558</v>
      </c>
      <c r="G25" s="5">
        <f t="shared" si="21"/>
        <v>1663437.4210574823</v>
      </c>
      <c r="H25" s="5">
        <f t="shared" si="21"/>
        <v>1912802.1807455281</v>
      </c>
      <c r="I25" s="5">
        <f t="shared" si="21"/>
        <v>2177145.4395676786</v>
      </c>
      <c r="J25" s="5">
        <f t="shared" si="21"/>
        <v>2457239.1444639182</v>
      </c>
      <c r="K25" s="5">
        <f t="shared" si="21"/>
        <v>2761815.9723525182</v>
      </c>
      <c r="L25" s="5">
        <f t="shared" si="21"/>
        <v>3086451.4599051042</v>
      </c>
      <c r="M25" s="5">
        <f t="shared" si="21"/>
        <v>3432046.245070341</v>
      </c>
      <c r="N25" s="5">
        <f t="shared" si="21"/>
        <v>3796908.426201981</v>
      </c>
    </row>
    <row r="27" spans="2:18" x14ac:dyDescent="0.35">
      <c r="B27" s="18" t="s">
        <v>36</v>
      </c>
      <c r="C27" s="18"/>
      <c r="D27" s="19">
        <f>(D7+($R$7*($R$5-D7)))</f>
        <v>0.19600000000000001</v>
      </c>
      <c r="E27" s="19">
        <f>E7+($R$7*($R$5-E7))</f>
        <v>0.19600000000000001</v>
      </c>
      <c r="F27" s="19">
        <f>F7+($R$7*($R$5-F7))</f>
        <v>0.19600000000000001</v>
      </c>
      <c r="G27" s="19">
        <f>G7+($R$7*($R$5-G7))</f>
        <v>0.19999999999999998</v>
      </c>
      <c r="H27" s="19">
        <f>H7+($R$7*($R$5-H7))</f>
        <v>0.19999999999999998</v>
      </c>
      <c r="I27" s="19">
        <f t="shared" ref="I27:N27" si="22">I7+($R$7*($R$5-I7))</f>
        <v>0.19999999999999998</v>
      </c>
      <c r="J27" s="19">
        <f t="shared" si="22"/>
        <v>0.19999999999999998</v>
      </c>
      <c r="K27" s="19">
        <f t="shared" si="22"/>
        <v>0.19999999999999998</v>
      </c>
      <c r="L27" s="19">
        <f t="shared" si="22"/>
        <v>0.19999999999999998</v>
      </c>
      <c r="M27" s="19">
        <f t="shared" si="22"/>
        <v>0.19999999999999998</v>
      </c>
      <c r="N27" s="19">
        <f t="shared" si="22"/>
        <v>0.19999999999999998</v>
      </c>
    </row>
    <row r="28" spans="2:18" x14ac:dyDescent="0.35">
      <c r="B28" s="18" t="s">
        <v>37</v>
      </c>
      <c r="C28" s="18"/>
      <c r="D28" s="19">
        <f>(((D25/(D25+D8)))*D27)+((D8/(D8+D25)*D7)*(1-$R$8))</f>
        <v>0.17</v>
      </c>
      <c r="E28" s="19">
        <f>(((E25/(E25+E8)))*E27)+((E8/(E8+E25)*E7)*(1-$R$8))</f>
        <v>0.17378062217065454</v>
      </c>
      <c r="F28" s="19">
        <f t="shared" ref="F28:N28" si="23">(((F25/(F25+F8)))*F27)+((F8/(F8+F25)*F7)*(1-$R$8))</f>
        <v>0.16485511266297509</v>
      </c>
      <c r="G28" s="19">
        <f t="shared" si="23"/>
        <v>0.16865769511791076</v>
      </c>
      <c r="H28" s="19">
        <f t="shared" si="23"/>
        <v>0.17196549057733665</v>
      </c>
      <c r="I28" s="19">
        <f t="shared" si="23"/>
        <v>0.17478632168499189</v>
      </c>
      <c r="J28" s="19">
        <f t="shared" si="23"/>
        <v>0.17721549665904268</v>
      </c>
      <c r="K28" s="19">
        <f t="shared" si="23"/>
        <v>0.18557718674186999</v>
      </c>
      <c r="L28" s="19">
        <f t="shared" si="23"/>
        <v>0.18897031758374608</v>
      </c>
      <c r="M28" s="19">
        <f t="shared" si="23"/>
        <v>0.19189437633401335</v>
      </c>
      <c r="N28" s="19">
        <f t="shared" si="23"/>
        <v>0.19263430710420976</v>
      </c>
    </row>
    <row r="29" spans="2:18" x14ac:dyDescent="0.35">
      <c r="E29" s="8"/>
      <c r="M29" s="13"/>
      <c r="N29" s="13"/>
    </row>
    <row r="30" spans="2:18" x14ac:dyDescent="0.35">
      <c r="E30" s="8"/>
    </row>
    <row r="31" spans="2:18" x14ac:dyDescent="0.35">
      <c r="B31" s="10" t="s">
        <v>49</v>
      </c>
      <c r="C31" s="4"/>
      <c r="D31" s="30">
        <f>D21-D20</f>
        <v>324300</v>
      </c>
      <c r="E31" s="30">
        <f t="shared" ref="E31:N31" si="24">E21-E20</f>
        <v>347253.36449999997</v>
      </c>
      <c r="F31" s="30">
        <f t="shared" si="24"/>
        <v>371713.18088084238</v>
      </c>
      <c r="G31" s="30">
        <f t="shared" si="24"/>
        <v>392241.66834261606</v>
      </c>
      <c r="H31" s="30">
        <f t="shared" si="24"/>
        <v>413825.39346673619</v>
      </c>
      <c r="I31" s="30">
        <f t="shared" si="24"/>
        <v>436520.08912447037</v>
      </c>
      <c r="J31" s="30">
        <f t="shared" si="24"/>
        <v>460384.40135793906</v>
      </c>
      <c r="K31" s="30">
        <f t="shared" si="24"/>
        <v>485480.04225545481</v>
      </c>
      <c r="L31" s="30">
        <f t="shared" si="24"/>
        <v>511871.95083725167</v>
      </c>
      <c r="M31" s="30">
        <f t="shared" si="24"/>
        <v>539628.46237157111</v>
      </c>
      <c r="N31" s="30">
        <f t="shared" si="24"/>
        <v>568821.4865630907</v>
      </c>
      <c r="Q31" s="1" t="s">
        <v>51</v>
      </c>
    </row>
    <row r="32" spans="2:18" x14ac:dyDescent="0.35">
      <c r="B32" s="10" t="s">
        <v>50</v>
      </c>
      <c r="C32" s="4"/>
      <c r="D32" s="12">
        <f>D31*(1-$R$8)</f>
        <v>214037.99999999997</v>
      </c>
      <c r="E32" s="12">
        <f t="shared" ref="E32:N32" si="25">E31*(1-$R$8)</f>
        <v>229187.22056999995</v>
      </c>
      <c r="F32" s="12">
        <f t="shared" si="25"/>
        <v>245330.69938135595</v>
      </c>
      <c r="G32" s="12">
        <f t="shared" si="25"/>
        <v>258879.50110612655</v>
      </c>
      <c r="H32" s="12">
        <f t="shared" si="25"/>
        <v>273124.75968804583</v>
      </c>
      <c r="I32" s="12">
        <f t="shared" si="25"/>
        <v>288103.25882215041</v>
      </c>
      <c r="J32" s="12">
        <f t="shared" si="25"/>
        <v>303853.70489623974</v>
      </c>
      <c r="K32" s="12">
        <f t="shared" si="25"/>
        <v>320416.82788860012</v>
      </c>
      <c r="L32" s="12">
        <f t="shared" si="25"/>
        <v>337835.48755258607</v>
      </c>
      <c r="M32" s="12">
        <f t="shared" si="25"/>
        <v>356154.78516523691</v>
      </c>
      <c r="N32" s="12">
        <f t="shared" si="25"/>
        <v>375422.18113163981</v>
      </c>
      <c r="Q32" s="1" t="s">
        <v>54</v>
      </c>
    </row>
    <row r="33" spans="2:17" x14ac:dyDescent="0.35">
      <c r="B33" s="10" t="s">
        <v>52</v>
      </c>
      <c r="C33" s="4"/>
      <c r="D33" s="4"/>
      <c r="E33" s="31"/>
      <c r="F33" s="30">
        <v>200000</v>
      </c>
      <c r="G33" s="5"/>
      <c r="H33" s="4"/>
      <c r="I33" s="4"/>
      <c r="J33" s="4"/>
      <c r="K33" s="4"/>
      <c r="L33" s="4"/>
      <c r="M33" s="4"/>
      <c r="N33" s="4"/>
    </row>
    <row r="34" spans="2:17" x14ac:dyDescent="0.35">
      <c r="B34" s="10" t="s">
        <v>53</v>
      </c>
      <c r="C34" s="4"/>
      <c r="D34" s="30">
        <f>D32-D19-D33</f>
        <v>229037.99999999997</v>
      </c>
      <c r="E34" s="30">
        <f t="shared" ref="E34:N34" si="26">E32-E19-E33</f>
        <v>243887.22056999995</v>
      </c>
      <c r="F34" s="30">
        <f t="shared" si="26"/>
        <v>59736.699381355953</v>
      </c>
      <c r="G34" s="30">
        <f t="shared" si="26"/>
        <v>272997.38110612653</v>
      </c>
      <c r="H34" s="30">
        <f t="shared" si="26"/>
        <v>286960.28208804585</v>
      </c>
      <c r="I34" s="30">
        <f t="shared" si="26"/>
        <v>301662.07077415043</v>
      </c>
      <c r="J34" s="30">
        <f t="shared" si="26"/>
        <v>317141.34060919972</v>
      </c>
      <c r="K34" s="30">
        <f t="shared" si="26"/>
        <v>333438.7108873009</v>
      </c>
      <c r="L34" s="30">
        <f t="shared" si="26"/>
        <v>350596.93289131287</v>
      </c>
      <c r="M34" s="30">
        <f t="shared" si="26"/>
        <v>368661.00159718917</v>
      </c>
      <c r="N34" s="30">
        <f t="shared" si="26"/>
        <v>387678.273234953</v>
      </c>
      <c r="Q34" s="1" t="s">
        <v>71</v>
      </c>
    </row>
    <row r="35" spans="2:17" x14ac:dyDescent="0.35">
      <c r="Q35" s="1" t="s">
        <v>72</v>
      </c>
    </row>
    <row r="36" spans="2:17" x14ac:dyDescent="0.35">
      <c r="B36" s="10" t="s">
        <v>55</v>
      </c>
    </row>
    <row r="37" spans="2:17" x14ac:dyDescent="0.35">
      <c r="B37" s="10" t="s">
        <v>56</v>
      </c>
      <c r="C37" s="4">
        <v>1</v>
      </c>
      <c r="D37" s="31">
        <f>E34/(E28+1)^C37</f>
        <v>207779.21867459614</v>
      </c>
    </row>
    <row r="38" spans="2:17" x14ac:dyDescent="0.35">
      <c r="B38" s="10" t="s">
        <v>57</v>
      </c>
      <c r="C38" s="4">
        <v>2</v>
      </c>
      <c r="D38" s="31">
        <f>F34/(F28+1)^C38</f>
        <v>44024.801104833015</v>
      </c>
    </row>
    <row r="39" spans="2:17" x14ac:dyDescent="0.35">
      <c r="B39" s="10" t="s">
        <v>58</v>
      </c>
      <c r="C39" s="4">
        <v>3</v>
      </c>
      <c r="D39" s="31">
        <f>G34/(G28+1)^C39</f>
        <v>171039.53676553609</v>
      </c>
    </row>
    <row r="40" spans="2:17" x14ac:dyDescent="0.35">
      <c r="B40" s="10" t="s">
        <v>59</v>
      </c>
      <c r="C40" s="4">
        <v>4</v>
      </c>
      <c r="D40" s="31">
        <f>H34/(H28+1)^C40</f>
        <v>152111.65643160639</v>
      </c>
    </row>
    <row r="41" spans="2:17" x14ac:dyDescent="0.35">
      <c r="B41" s="10" t="s">
        <v>60</v>
      </c>
      <c r="C41" s="4">
        <v>5</v>
      </c>
      <c r="D41" s="31">
        <f>I34/(I28+1)^C41</f>
        <v>134811.30150813336</v>
      </c>
    </row>
    <row r="42" spans="2:17" x14ac:dyDescent="0.35">
      <c r="B42" s="10" t="s">
        <v>61</v>
      </c>
      <c r="C42" s="4">
        <v>6</v>
      </c>
      <c r="D42" s="31">
        <f>J34/(J28+1)^C42</f>
        <v>119156.30709308725</v>
      </c>
    </row>
    <row r="43" spans="2:17" x14ac:dyDescent="0.35">
      <c r="B43" s="10" t="s">
        <v>62</v>
      </c>
      <c r="C43" s="4">
        <v>7</v>
      </c>
      <c r="D43" s="31">
        <f>K34/(K28+1)^C43</f>
        <v>101276.14947462623</v>
      </c>
      <c r="J43" s="13"/>
    </row>
    <row r="44" spans="2:17" x14ac:dyDescent="0.35">
      <c r="B44" s="10" t="s">
        <v>63</v>
      </c>
      <c r="C44" s="4">
        <v>8</v>
      </c>
      <c r="D44" s="31">
        <f>L34/(L28+1)^C44</f>
        <v>87788.981610794741</v>
      </c>
    </row>
    <row r="45" spans="2:17" x14ac:dyDescent="0.35">
      <c r="B45" s="10" t="s">
        <v>64</v>
      </c>
      <c r="C45" s="4">
        <v>9</v>
      </c>
      <c r="D45" s="31">
        <f>M34/(M28+1)^C45</f>
        <v>75942.914920860436</v>
      </c>
    </row>
    <row r="46" spans="2:17" x14ac:dyDescent="0.35">
      <c r="B46" s="10" t="s">
        <v>65</v>
      </c>
      <c r="C46" s="4">
        <v>10</v>
      </c>
      <c r="D46" s="31">
        <f>N34/(N28+1)^C46</f>
        <v>66588.385040772366</v>
      </c>
      <c r="K46" s="8"/>
    </row>
    <row r="48" spans="2:17" x14ac:dyDescent="0.35">
      <c r="B48" s="10" t="s">
        <v>66</v>
      </c>
      <c r="C48" s="4"/>
      <c r="D48" s="31">
        <f>(N34*(S14+1))/(N28-S14)</f>
        <v>2143929.3754589283</v>
      </c>
      <c r="E48" s="32" t="s">
        <v>69</v>
      </c>
    </row>
    <row r="49" spans="2:4" x14ac:dyDescent="0.35">
      <c r="B49" s="10" t="s">
        <v>68</v>
      </c>
      <c r="C49" s="10"/>
      <c r="D49" s="31">
        <f>(D48/(N28+1)^10)</f>
        <v>368245.53917356452</v>
      </c>
    </row>
    <row r="51" spans="2:4" x14ac:dyDescent="0.35">
      <c r="B51" s="10" t="s">
        <v>70</v>
      </c>
      <c r="D51" s="31">
        <f>D49+SUM(D37:D46)</f>
        <v>1528764.7917984105</v>
      </c>
    </row>
  </sheetData>
  <pageMargins left="0.511811024" right="0.511811024" top="0.78740157499999996" bottom="0.78740157499999996" header="0.31496062000000002" footer="0.31496062000000002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Fernandes</dc:creator>
  <cp:lastModifiedBy>Jorge Fernandes</cp:lastModifiedBy>
  <dcterms:created xsi:type="dcterms:W3CDTF">2025-08-14T15:03:54Z</dcterms:created>
  <dcterms:modified xsi:type="dcterms:W3CDTF">2025-11-12T19:52:54Z</dcterms:modified>
</cp:coreProperties>
</file>